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1"/>
  </bookViews>
  <sheets>
    <sheet name="cheltuieli+10%" sheetId="1" r:id="rId1"/>
    <sheet name="cheltuieli" sheetId="2" r:id="rId2"/>
    <sheet name="tranzitie" sheetId="3" r:id="rId3"/>
    <sheet name="copii BASS" sheetId="4" r:id="rId4"/>
    <sheet name="copii BS" sheetId="5" r:id="rId5"/>
    <sheet name="unica asig" sheetId="6" r:id="rId6"/>
  </sheets>
  <externalReferences>
    <externalReference r:id="rId9"/>
  </externalReferences>
  <definedNames>
    <definedName name="_xlnm.Print_Area" localSheetId="0">'cheltuieli+10%'!$A$1:$Y$20</definedName>
  </definedNames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G5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+500 lei annual, 2014-2016</t>
        </r>
      </text>
    </comment>
    <comment ref="G6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+500 lei annual, 2014-2016</t>
        </r>
      </text>
    </comment>
    <comment ref="H8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Cuantum mai mare cu 9,2% decit cel actual, datorita minimimului garantat nou.</t>
        </r>
      </text>
    </comment>
    <comment ref="O8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Cuantum mai mare cu 9,2% decit cel actual, datorita minimimului garantat nou.</t>
        </r>
      </text>
    </comment>
    <comment ref="C15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Din lipsa datelor la momentul calcului coșul minim de bunuri necesare la nașterea copilului este convenţional considerat 4000 lei pentru anul 2012</t>
        </r>
      </text>
    </comment>
    <comment ref="O9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+10% fata de anul precednt</t>
        </r>
      </text>
    </comment>
    <comment ref="O12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+10% fata de anul precednt</t>
        </r>
      </text>
    </comment>
    <comment ref="V8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+10% fata de anul precednt</t>
        </r>
      </text>
    </comment>
    <comment ref="V9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+10% fata de anul precednt</t>
        </r>
      </text>
    </comment>
    <comment ref="V12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+10% fata de anul precednt</t>
        </r>
      </text>
    </comment>
  </commentList>
</comments>
</file>

<file path=xl/comments2.xml><?xml version="1.0" encoding="utf-8"?>
<comments xmlns="http://schemas.openxmlformats.org/spreadsheetml/2006/main">
  <authors>
    <author>Oleg</author>
  </authors>
  <commentList>
    <comment ref="G5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+500 lei annual, 2014-2016</t>
        </r>
      </text>
    </comment>
    <comment ref="G6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+500 lei annual, 2014-2016</t>
        </r>
      </text>
    </comment>
    <comment ref="C15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Din lipsa datelor la momentul calcului coșul minim de bunuri necesare la nașterea copilului este convenţional considerat 4000 lei pentru anul 2012</t>
        </r>
      </text>
    </comment>
    <comment ref="H8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Cuantum mai mare cu 9,2% decit cel actual, datorita minimimului garantat nou.</t>
        </r>
      </text>
    </comment>
    <comment ref="O8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Cuantum mai mare cu 9,2% decit cel actual, datorita minimimului garantat nou.</t>
        </r>
      </text>
    </comment>
    <comment ref="V8" authorId="0">
      <text>
        <r>
          <rPr>
            <b/>
            <sz val="8"/>
            <rFont val="Tahoma"/>
            <family val="2"/>
          </rPr>
          <t>Oleg:</t>
        </r>
        <r>
          <rPr>
            <sz val="8"/>
            <rFont val="Tahoma"/>
            <family val="2"/>
          </rPr>
          <t xml:space="preserve">
Cuantum mai mare cu 9,2% decit cel actual, datorita minimimului garantat nou.</t>
        </r>
      </text>
    </comment>
  </commentList>
</comments>
</file>

<file path=xl/comments4.xml><?xml version="1.0" encoding="utf-8"?>
<comments xmlns="http://schemas.openxmlformats.org/spreadsheetml/2006/main">
  <authors>
    <author>zinaida.mantaluta</author>
  </authors>
  <commentList>
    <comment ref="U8" authorId="0">
      <text>
        <r>
          <rPr>
            <b/>
            <sz val="8"/>
            <rFont val="Tahoma"/>
            <family val="2"/>
          </rPr>
          <t>zinaida.mantaluta:</t>
        </r>
        <r>
          <rPr>
            <sz val="8"/>
            <rFont val="Tahoma"/>
            <family val="2"/>
          </rPr>
          <t xml:space="preserve">
799,36 - la 1.06.2012</t>
        </r>
      </text>
    </comment>
  </commentList>
</comments>
</file>

<file path=xl/comments5.xml><?xml version="1.0" encoding="utf-8"?>
<comments xmlns="http://schemas.openxmlformats.org/spreadsheetml/2006/main">
  <authors>
    <author>Ludmila.Vasiliev</author>
  </authors>
  <commentList>
    <comment ref="E7" authorId="0">
      <text>
        <r>
          <rPr>
            <b/>
            <sz val="11"/>
            <rFont val="Tahoma"/>
            <family val="2"/>
          </rPr>
          <t>1506,10 lei</t>
        </r>
      </text>
    </comment>
    <comment ref="E8" authorId="0">
      <text>
        <r>
          <rPr>
            <b/>
            <sz val="8"/>
            <rFont val="Tahoma"/>
            <family val="2"/>
          </rPr>
          <t>Beneficiarii</t>
        </r>
        <r>
          <rPr>
            <sz val="8"/>
            <rFont val="Tahoma"/>
            <family val="2"/>
          </rPr>
          <t xml:space="preserve"> de </t>
        </r>
        <r>
          <rPr>
            <b/>
            <sz val="8"/>
            <rFont val="Tahoma"/>
            <family val="2"/>
          </rPr>
          <t xml:space="preserve">Indemniz unica </t>
        </r>
        <r>
          <rPr>
            <sz val="8"/>
            <rFont val="Tahoma"/>
            <family val="2"/>
          </rPr>
          <t>se iau beneficiarii</t>
        </r>
        <r>
          <rPr>
            <b/>
            <sz val="8"/>
            <color indexed="10"/>
            <rFont val="Tahoma"/>
            <family val="2"/>
          </rPr>
          <t xml:space="preserve"> stabiliti in anul curent</t>
        </r>
      </text>
    </comment>
    <comment ref="E14" authorId="0">
      <text>
        <r>
          <rPr>
            <b/>
            <sz val="12"/>
            <rFont val="Tahoma"/>
            <family val="2"/>
          </rPr>
          <t>146,95 lei</t>
        </r>
      </text>
    </comment>
  </commentList>
</comments>
</file>

<file path=xl/sharedStrings.xml><?xml version="1.0" encoding="utf-8"?>
<sst xmlns="http://schemas.openxmlformats.org/spreadsheetml/2006/main" count="238" uniqueCount="79">
  <si>
    <t>Număr</t>
  </si>
  <si>
    <t>Cuantum, lei</t>
  </si>
  <si>
    <t>Numărul beneficiarilor (persoane)</t>
  </si>
  <si>
    <t>Cheltuieli anuale (mii lei)</t>
  </si>
  <si>
    <t>estimat</t>
  </si>
  <si>
    <t xml:space="preserve">aprobat </t>
  </si>
  <si>
    <t>pe anul     2014</t>
  </si>
  <si>
    <t>pe anul     2015</t>
  </si>
  <si>
    <t>pe anul     2016</t>
  </si>
  <si>
    <t>Total</t>
  </si>
  <si>
    <t>TOTAL</t>
  </si>
  <si>
    <t>Cheltuieli pentru distribuire</t>
  </si>
  <si>
    <t>Cheltuieli pentru deservire bancară</t>
  </si>
  <si>
    <t>actual</t>
  </si>
  <si>
    <t>Cheltuieli anuale, mii lei</t>
  </si>
  <si>
    <t>Cheltuieli anuale suplimentare, mii lei</t>
  </si>
  <si>
    <t>Creşterea indicelui preţurilor de consum, %</t>
  </si>
  <si>
    <t>nou</t>
  </si>
  <si>
    <t>Indemnizația unică la nașterea copilului</t>
  </si>
  <si>
    <t>Indemnizația lunară pentru îngrijirea copilului pînă la vîrsta de 3 ani</t>
  </si>
  <si>
    <t>Indemnizația unică pentru școlarizarea copilului</t>
  </si>
  <si>
    <t xml:space="preserve">Indemnizația lunară de suport pentru copiii gemeni </t>
  </si>
  <si>
    <t>Coșul minim de bunuri necesare la nașterea copilului</t>
  </si>
  <si>
    <t>Minimul de existență pentru copii de la 0 pînă la 1 an</t>
  </si>
  <si>
    <t>Minimul de existență pentru copii de la 1 an pînă la 6 ani</t>
  </si>
  <si>
    <t>Coșul minim de bunuri necesare pentru școlarizarea copilului în primul an de studii</t>
  </si>
  <si>
    <t xml:space="preserve">Indemnizația de tutelă/curatelă </t>
  </si>
  <si>
    <t xml:space="preserve">Calculul
mijloacelor necesare din bugetul de stat pentru achitarea indemnizaţiilor familiilor cu copii pentru anii 2014-2016 prin intermediul bugetului asigurărilor sociale de stat </t>
  </si>
  <si>
    <t>Mărimea indemnizaţiei (lei)</t>
  </si>
  <si>
    <t>la 01.01</t>
  </si>
  <si>
    <t>Devieri an  10 / 09</t>
  </si>
  <si>
    <t>Devieri an  11 / 10</t>
  </si>
  <si>
    <t>Devieri an  12 / 11</t>
  </si>
  <si>
    <t>Devieri an  13 / 12</t>
  </si>
  <si>
    <t>Aprobat 2013</t>
  </si>
  <si>
    <t>Susţinerea financiară a familiei la naşterea copilului pentru persoanele neasigurate, total</t>
  </si>
  <si>
    <t xml:space="preserve">  I copil</t>
  </si>
  <si>
    <t xml:space="preserve">  II copil</t>
  </si>
  <si>
    <t>Susţinerea financiară a familiei pentru creşterea copilului pînă la vîrsta de 1,5 ani, persoanelor neasigurate</t>
  </si>
  <si>
    <r>
      <t xml:space="preserve">Calculul cheltuielilor pentru indemnizaţia unică la naşterea copilului, </t>
    </r>
    <r>
      <rPr>
        <b/>
        <i/>
        <sz val="12"/>
        <rFont val="Times New Roman"/>
        <family val="1"/>
      </rPr>
      <t>persoanelor asigurate</t>
    </r>
    <r>
      <rPr>
        <b/>
        <sz val="12"/>
        <rFont val="Times New Roman"/>
        <family val="1"/>
      </rPr>
      <t xml:space="preserve"> pentru anii 2014-2016</t>
    </r>
  </si>
  <si>
    <t>Mărimea medie (lei)</t>
  </si>
  <si>
    <t>Cheltuieli anuale  (mii lei)</t>
  </si>
  <si>
    <t>la 1.01.</t>
  </si>
  <si>
    <t>2013 aprobat</t>
  </si>
  <si>
    <t>2014  proiect</t>
  </si>
  <si>
    <t>2015  proiect</t>
  </si>
  <si>
    <t>2016  proiect</t>
  </si>
  <si>
    <t>Indemnizaţia unică la naşterea copilului, persoanelor asigurate</t>
  </si>
  <si>
    <t>Calculul cheltuielilor destinate protecţiei familiilor cu copii pentru persoanele asigurate pentru anii 2013-2015</t>
  </si>
  <si>
    <t>Cheltuieli anuale</t>
  </si>
  <si>
    <t xml:space="preserve">2011/2010 + / - </t>
  </si>
  <si>
    <t xml:space="preserve">2012/2011 + / - </t>
  </si>
  <si>
    <t>Creşterea medie</t>
  </si>
  <si>
    <t>scontat</t>
  </si>
  <si>
    <t>sconat</t>
  </si>
  <si>
    <t>scontat        2013</t>
  </si>
  <si>
    <t xml:space="preserve">estimat  </t>
  </si>
  <si>
    <t>total</t>
  </si>
  <si>
    <t>rămaşi în plată din 2014 (35%)</t>
  </si>
  <si>
    <t>stabiliri noi (I an) (50%)</t>
  </si>
  <si>
    <t>rămaşi în plată din 2015
  (II an)  (30%)</t>
  </si>
  <si>
    <t>stabiliri noi
 (I an) 
(50%)</t>
  </si>
  <si>
    <t>rămaşi în plată din 2014
 (II an) (35%)</t>
  </si>
  <si>
    <t>stabiliri noi
 (I an) (50%)</t>
  </si>
  <si>
    <t>rămaşi în plată din 2014
 (III an) (35%)</t>
  </si>
  <si>
    <t>A</t>
  </si>
  <si>
    <t>Indemnizaţie lunară pentru creşterea copilului pînă la vîrsta de 3 ani, persoanelor asigurate</t>
  </si>
  <si>
    <t>Conform politicii</t>
  </si>
  <si>
    <t>Mărimea medie pînă la 600 lei</t>
  </si>
  <si>
    <t>Mărimea medie peste 600 lei</t>
  </si>
  <si>
    <t xml:space="preserve">     primul copil</t>
  </si>
  <si>
    <t xml:space="preserve">     fiecare copil următor</t>
  </si>
  <si>
    <t xml:space="preserve">     persoane asigurate</t>
  </si>
  <si>
    <t xml:space="preserve">     persoane neasigurate</t>
  </si>
  <si>
    <t>Minimul de existență pentru copii de la 7 ani pînă la 16 ani</t>
  </si>
  <si>
    <t>n/a</t>
  </si>
  <si>
    <t>min</t>
  </si>
  <si>
    <t>min. nou</t>
  </si>
  <si>
    <t>cuantum nou</t>
  </si>
</sst>
</file>

<file path=xl/styles.xml><?xml version="1.0" encoding="utf-8"?>
<styleSheet xmlns="http://schemas.openxmlformats.org/spreadsheetml/2006/main">
  <numFmts count="3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\ _l_e_i_-;\-* #,##0.0\ _l_e_i_-;_-* &quot;-&quot;??\ _l_e_i_-;_-@_-"/>
    <numFmt numFmtId="181" formatCode="0.0%"/>
    <numFmt numFmtId="182" formatCode="0.0"/>
    <numFmt numFmtId="183" formatCode="#,##0.0"/>
    <numFmt numFmtId="184" formatCode="_-* #,##0.0_р_._-;\-* #,##0.0_р_._-;_-* &quot;-&quot;?_р_._-;_-@_-"/>
    <numFmt numFmtId="185" formatCode="0.000%"/>
    <numFmt numFmtId="186" formatCode="0.0000%"/>
    <numFmt numFmtId="187" formatCode="[$-418]mmm\-yy;@"/>
    <numFmt numFmtId="188" formatCode="[$-418]mmmm\-yy;@"/>
    <numFmt numFmtId="189" formatCode="_-* #,##0.0\ _l_e_i_-;\-* #,##0.0\ _l_e_i_-;_-* &quot;-&quot;?\ _l_e_i_-;_-@_-"/>
    <numFmt numFmtId="190" formatCode="0.00000"/>
    <numFmt numFmtId="191" formatCode="0.0000"/>
    <numFmt numFmtId="192" formatCode="0.00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i/>
      <sz val="12"/>
      <name val="Times New Roman"/>
      <family val="1"/>
    </font>
    <font>
      <b/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i/>
      <sz val="9"/>
      <color indexed="23"/>
      <name val="Times New Roman"/>
      <family val="1"/>
    </font>
    <font>
      <i/>
      <sz val="8"/>
      <color indexed="12"/>
      <name val="Times New Roman"/>
      <family val="1"/>
    </font>
    <font>
      <b/>
      <i/>
      <sz val="8"/>
      <color indexed="12"/>
      <name val="Times New Roman"/>
      <family val="1"/>
    </font>
    <font>
      <b/>
      <i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9"/>
      <color indexed="12"/>
      <name val="Times New Roman"/>
      <family val="1"/>
    </font>
    <font>
      <b/>
      <sz val="9"/>
      <name val="Times New Roman"/>
      <family val="1"/>
    </font>
    <font>
      <b/>
      <sz val="8"/>
      <color indexed="12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b/>
      <i/>
      <sz val="10"/>
      <color indexed="55"/>
      <name val="Times New Roman"/>
      <family val="1"/>
    </font>
    <font>
      <b/>
      <sz val="11"/>
      <name val="Tahoma"/>
      <family val="2"/>
    </font>
    <font>
      <b/>
      <sz val="8"/>
      <color indexed="10"/>
      <name val="Tahoma"/>
      <family val="2"/>
    </font>
    <font>
      <b/>
      <i/>
      <sz val="8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sz val="11"/>
      <color indexed="40"/>
      <name val="Calibri"/>
      <family val="2"/>
    </font>
    <font>
      <sz val="12"/>
      <color indexed="6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sz val="11"/>
      <color rgb="FF00B0F0"/>
      <name val="Calibri"/>
      <family val="2"/>
    </font>
    <font>
      <sz val="12"/>
      <color rgb="FFC0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theme="0"/>
      <name val="Times New Roman"/>
      <family val="1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thin"/>
      <bottom/>
    </border>
    <border>
      <left style="thin"/>
      <right/>
      <top style="thin"/>
      <bottom/>
    </border>
    <border>
      <left style="medium"/>
      <right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446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6" fillId="0" borderId="10" xfId="56" applyFont="1" applyBorder="1" applyAlignment="1">
      <alignment horizontal="left" vertical="center" wrapText="1"/>
      <protection/>
    </xf>
    <xf numFmtId="0" fontId="79" fillId="0" borderId="0" xfId="0" applyFont="1" applyAlignment="1">
      <alignment/>
    </xf>
    <xf numFmtId="0" fontId="80" fillId="0" borderId="11" xfId="0" applyFont="1" applyBorder="1" applyAlignment="1">
      <alignment horizontal="left" vertical="center" wrapText="1"/>
    </xf>
    <xf numFmtId="2" fontId="80" fillId="0" borderId="12" xfId="0" applyNumberFormat="1" applyFont="1" applyBorder="1" applyAlignment="1">
      <alignment vertical="center"/>
    </xf>
    <xf numFmtId="2" fontId="80" fillId="0" borderId="13" xfId="0" applyNumberFormat="1" applyFont="1" applyBorder="1" applyAlignment="1">
      <alignment vertical="center"/>
    </xf>
    <xf numFmtId="180" fontId="80" fillId="0" borderId="13" xfId="42" applyNumberFormat="1" applyFont="1" applyBorder="1" applyAlignment="1">
      <alignment vertical="center"/>
    </xf>
    <xf numFmtId="180" fontId="81" fillId="0" borderId="12" xfId="42" applyNumberFormat="1" applyFont="1" applyBorder="1" applyAlignment="1">
      <alignment vertical="center"/>
    </xf>
    <xf numFmtId="0" fontId="80" fillId="0" borderId="0" xfId="0" applyFont="1" applyAlignment="1">
      <alignment/>
    </xf>
    <xf numFmtId="0" fontId="79" fillId="0" borderId="14" xfId="0" applyFont="1" applyBorder="1" applyAlignment="1">
      <alignment horizontal="left" vertical="center" wrapText="1"/>
    </xf>
    <xf numFmtId="0" fontId="79" fillId="0" borderId="15" xfId="0" applyFont="1" applyBorder="1" applyAlignment="1">
      <alignment vertical="center"/>
    </xf>
    <xf numFmtId="2" fontId="79" fillId="0" borderId="16" xfId="0" applyNumberFormat="1" applyFont="1" applyBorder="1" applyAlignment="1">
      <alignment vertical="center"/>
    </xf>
    <xf numFmtId="2" fontId="79" fillId="0" borderId="10" xfId="0" applyNumberFormat="1" applyFont="1" applyBorder="1" applyAlignment="1">
      <alignment vertical="center"/>
    </xf>
    <xf numFmtId="180" fontId="79" fillId="0" borderId="10" xfId="42" applyNumberFormat="1" applyFont="1" applyBorder="1" applyAlignment="1">
      <alignment vertical="center"/>
    </xf>
    <xf numFmtId="0" fontId="82" fillId="0" borderId="0" xfId="0" applyFont="1" applyAlignment="1">
      <alignment/>
    </xf>
    <xf numFmtId="43" fontId="83" fillId="0" borderId="13" xfId="42" applyNumberFormat="1" applyFont="1" applyBorder="1" applyAlignment="1">
      <alignment/>
    </xf>
    <xf numFmtId="43" fontId="82" fillId="0" borderId="13" xfId="42" applyNumberFormat="1" applyFont="1" applyBorder="1" applyAlignment="1">
      <alignment/>
    </xf>
    <xf numFmtId="43" fontId="82" fillId="0" borderId="12" xfId="42" applyNumberFormat="1" applyFont="1" applyBorder="1" applyAlignment="1">
      <alignment/>
    </xf>
    <xf numFmtId="43" fontId="83" fillId="0" borderId="10" xfId="42" applyNumberFormat="1" applyFont="1" applyBorder="1" applyAlignment="1">
      <alignment/>
    </xf>
    <xf numFmtId="43" fontId="82" fillId="0" borderId="10" xfId="42" applyNumberFormat="1" applyFont="1" applyBorder="1" applyAlignment="1">
      <alignment/>
    </xf>
    <xf numFmtId="43" fontId="82" fillId="0" borderId="16" xfId="42" applyNumberFormat="1" applyFont="1" applyBorder="1" applyAlignment="1">
      <alignment/>
    </xf>
    <xf numFmtId="43" fontId="83" fillId="0" borderId="17" xfId="42" applyNumberFormat="1" applyFont="1" applyBorder="1" applyAlignment="1">
      <alignment/>
    </xf>
    <xf numFmtId="43" fontId="82" fillId="0" borderId="17" xfId="42" applyNumberFormat="1" applyFont="1" applyBorder="1" applyAlignment="1">
      <alignment/>
    </xf>
    <xf numFmtId="43" fontId="82" fillId="0" borderId="18" xfId="42" applyNumberFormat="1" applyFont="1" applyBorder="1" applyAlignment="1">
      <alignment/>
    </xf>
    <xf numFmtId="0" fontId="79" fillId="0" borderId="19" xfId="0" applyFont="1" applyBorder="1" applyAlignment="1">
      <alignment/>
    </xf>
    <xf numFmtId="0" fontId="79" fillId="0" borderId="15" xfId="0" applyFont="1" applyBorder="1" applyAlignment="1">
      <alignment/>
    </xf>
    <xf numFmtId="179" fontId="79" fillId="0" borderId="16" xfId="0" applyNumberFormat="1" applyFont="1" applyBorder="1" applyAlignment="1">
      <alignment/>
    </xf>
    <xf numFmtId="0" fontId="79" fillId="0" borderId="20" xfId="0" applyFont="1" applyBorder="1" applyAlignment="1">
      <alignment/>
    </xf>
    <xf numFmtId="0" fontId="80" fillId="0" borderId="21" xfId="0" applyFont="1" applyBorder="1" applyAlignment="1">
      <alignment horizontal="left" vertical="center" wrapText="1"/>
    </xf>
    <xf numFmtId="2" fontId="80" fillId="0" borderId="22" xfId="0" applyNumberFormat="1" applyFont="1" applyBorder="1" applyAlignment="1">
      <alignment vertical="center"/>
    </xf>
    <xf numFmtId="2" fontId="80" fillId="0" borderId="23" xfId="0" applyNumberFormat="1" applyFont="1" applyBorder="1" applyAlignment="1">
      <alignment vertical="center"/>
    </xf>
    <xf numFmtId="180" fontId="80" fillId="0" borderId="23" xfId="42" applyNumberFormat="1" applyFont="1" applyBorder="1" applyAlignment="1">
      <alignment vertical="center"/>
    </xf>
    <xf numFmtId="180" fontId="81" fillId="0" borderId="22" xfId="42" applyNumberFormat="1" applyFont="1" applyBorder="1" applyAlignment="1">
      <alignment vertical="center"/>
    </xf>
    <xf numFmtId="0" fontId="83" fillId="0" borderId="14" xfId="0" applyFont="1" applyBorder="1" applyAlignment="1">
      <alignment vertical="center"/>
    </xf>
    <xf numFmtId="0" fontId="83" fillId="0" borderId="11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1" fillId="0" borderId="25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23" fillId="0" borderId="26" xfId="55" applyFont="1" applyBorder="1" applyAlignment="1">
      <alignment horizontal="center" vertical="center" wrapText="1"/>
      <protection/>
    </xf>
    <xf numFmtId="0" fontId="23" fillId="0" borderId="10" xfId="55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27" xfId="0" applyFont="1" applyBorder="1" applyAlignment="1">
      <alignment horizontal="left" vertical="top" wrapText="1"/>
    </xf>
    <xf numFmtId="1" fontId="8" fillId="0" borderId="27" xfId="0" applyNumberFormat="1" applyFont="1" applyBorder="1" applyAlignment="1">
      <alignment horizontal="center" vertical="top" wrapText="1"/>
    </xf>
    <xf numFmtId="1" fontId="8" fillId="0" borderId="27" xfId="0" applyNumberFormat="1" applyFont="1" applyBorder="1" applyAlignment="1">
      <alignment horizontal="center" vertical="top"/>
    </xf>
    <xf numFmtId="1" fontId="8" fillId="0" borderId="32" xfId="0" applyNumberFormat="1" applyFont="1" applyBorder="1" applyAlignment="1">
      <alignment horizontal="center" vertical="top"/>
    </xf>
    <xf numFmtId="1" fontId="8" fillId="0" borderId="26" xfId="0" applyNumberFormat="1" applyFont="1" applyBorder="1" applyAlignment="1">
      <alignment horizontal="center" vertical="top"/>
    </xf>
    <xf numFmtId="1" fontId="8" fillId="0" borderId="10" xfId="0" applyNumberFormat="1" applyFont="1" applyBorder="1" applyAlignment="1">
      <alignment horizontal="center" vertical="top"/>
    </xf>
    <xf numFmtId="1" fontId="8" fillId="0" borderId="10" xfId="0" applyNumberFormat="1" applyFont="1" applyFill="1" applyBorder="1" applyAlignment="1">
      <alignment horizontal="center" vertical="top"/>
    </xf>
    <xf numFmtId="1" fontId="4" fillId="0" borderId="29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8" fillId="0" borderId="29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/>
    </xf>
    <xf numFmtId="2" fontId="8" fillId="33" borderId="10" xfId="55" applyNumberFormat="1" applyFont="1" applyFill="1" applyBorder="1" applyAlignment="1">
      <alignment horizontal="center" vertical="top" wrapText="1"/>
      <protection/>
    </xf>
    <xf numFmtId="2" fontId="7" fillId="0" borderId="10" xfId="55" applyNumberFormat="1" applyFont="1" applyFill="1" applyBorder="1" applyAlignment="1">
      <alignment vertical="top" wrapText="1"/>
      <protection/>
    </xf>
    <xf numFmtId="182" fontId="8" fillId="0" borderId="10" xfId="0" applyNumberFormat="1" applyFont="1" applyFill="1" applyBorder="1" applyAlignment="1">
      <alignment horizontal="right" vertical="top" wrapText="1"/>
    </xf>
    <xf numFmtId="182" fontId="7" fillId="33" borderId="10" xfId="0" applyNumberFormat="1" applyFont="1" applyFill="1" applyBorder="1" applyAlignment="1">
      <alignment horizontal="right" vertical="top" wrapText="1"/>
    </xf>
    <xf numFmtId="1" fontId="3" fillId="0" borderId="27" xfId="0" applyNumberFormat="1" applyFont="1" applyBorder="1" applyAlignment="1">
      <alignment horizontal="center" vertical="top" wrapText="1"/>
    </xf>
    <xf numFmtId="1" fontId="3" fillId="0" borderId="27" xfId="0" applyNumberFormat="1" applyFont="1" applyBorder="1" applyAlignment="1">
      <alignment horizontal="center" vertical="top"/>
    </xf>
    <xf numFmtId="1" fontId="3" fillId="0" borderId="32" xfId="0" applyNumberFormat="1" applyFont="1" applyBorder="1" applyAlignment="1">
      <alignment horizontal="center" vertical="top"/>
    </xf>
    <xf numFmtId="1" fontId="3" fillId="0" borderId="26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8" fillId="0" borderId="29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 wrapText="1"/>
    </xf>
    <xf numFmtId="2" fontId="8" fillId="0" borderId="10" xfId="55" applyNumberFormat="1" applyFont="1" applyFill="1" applyBorder="1" applyAlignment="1">
      <alignment horizontal="right" wrapText="1"/>
      <protection/>
    </xf>
    <xf numFmtId="2" fontId="13" fillId="0" borderId="10" xfId="55" applyNumberFormat="1" applyFont="1" applyFill="1" applyBorder="1" applyAlignment="1">
      <alignment horizontal="right" wrapText="1"/>
      <protection/>
    </xf>
    <xf numFmtId="182" fontId="3" fillId="33" borderId="10" xfId="0" applyNumberFormat="1" applyFont="1" applyFill="1" applyBorder="1" applyAlignment="1">
      <alignment horizontal="right" vertical="top" wrapText="1"/>
    </xf>
    <xf numFmtId="182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top"/>
    </xf>
    <xf numFmtId="1" fontId="6" fillId="0" borderId="32" xfId="0" applyNumberFormat="1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" fontId="10" fillId="0" borderId="29" xfId="0" applyNumberFormat="1" applyFont="1" applyBorder="1" applyAlignment="1">
      <alignment horizontal="center" vertical="top"/>
    </xf>
    <xf numFmtId="1" fontId="24" fillId="0" borderId="10" xfId="0" applyNumberFormat="1" applyFont="1" applyBorder="1" applyAlignment="1">
      <alignment horizontal="center" vertical="top"/>
    </xf>
    <xf numFmtId="1" fontId="6" fillId="0" borderId="29" xfId="0" applyNumberFormat="1" applyFont="1" applyBorder="1" applyAlignment="1">
      <alignment horizontal="center" vertical="top"/>
    </xf>
    <xf numFmtId="1" fontId="25" fillId="0" borderId="10" xfId="0" applyNumberFormat="1" applyFont="1" applyBorder="1" applyAlignment="1">
      <alignment horizontal="center" vertical="top"/>
    </xf>
    <xf numFmtId="2" fontId="6" fillId="0" borderId="10" xfId="55" applyNumberFormat="1" applyFont="1" applyFill="1" applyBorder="1" applyAlignment="1">
      <alignment horizontal="right" vertical="top" wrapText="1"/>
      <protection/>
    </xf>
    <xf numFmtId="0" fontId="17" fillId="0" borderId="10" xfId="0" applyFont="1" applyFill="1" applyBorder="1" applyAlignment="1">
      <alignment horizontal="center" vertical="top" wrapText="1"/>
    </xf>
    <xf numFmtId="182" fontId="6" fillId="0" borderId="10" xfId="55" applyNumberFormat="1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" fontId="9" fillId="0" borderId="27" xfId="0" applyNumberFormat="1" applyFont="1" applyBorder="1" applyAlignment="1">
      <alignment horizontal="center" vertical="top" wrapText="1"/>
    </xf>
    <xf numFmtId="0" fontId="9" fillId="33" borderId="27" xfId="0" applyFont="1" applyFill="1" applyBorder="1" applyAlignment="1">
      <alignment vertical="top"/>
    </xf>
    <xf numFmtId="0" fontId="9" fillId="33" borderId="32" xfId="0" applyFont="1" applyFill="1" applyBorder="1" applyAlignment="1">
      <alignment vertical="top"/>
    </xf>
    <xf numFmtId="0" fontId="9" fillId="33" borderId="26" xfId="0" applyFont="1" applyFill="1" applyBorder="1" applyAlignment="1">
      <alignment vertical="top"/>
    </xf>
    <xf numFmtId="0" fontId="6" fillId="33" borderId="10" xfId="0" applyFont="1" applyFill="1" applyBorder="1" applyAlignment="1">
      <alignment vertical="top"/>
    </xf>
    <xf numFmtId="1" fontId="6" fillId="0" borderId="33" xfId="0" applyNumberFormat="1" applyFont="1" applyBorder="1" applyAlignment="1">
      <alignment horizontal="center" vertical="top"/>
    </xf>
    <xf numFmtId="0" fontId="24" fillId="0" borderId="10" xfId="0" applyFont="1" applyFill="1" applyBorder="1" applyAlignment="1">
      <alignment horizontal="center" vertical="top" wrapText="1"/>
    </xf>
    <xf numFmtId="182" fontId="6" fillId="0" borderId="10" xfId="55" applyNumberFormat="1" applyFont="1" applyBorder="1" applyAlignment="1">
      <alignment horizontal="right" vertical="center"/>
      <protection/>
    </xf>
    <xf numFmtId="0" fontId="27" fillId="34" borderId="27" xfId="0" applyFont="1" applyFill="1" applyBorder="1" applyAlignment="1">
      <alignment horizontal="left" vertical="top" wrapText="1"/>
    </xf>
    <xf numFmtId="1" fontId="27" fillId="34" borderId="27" xfId="0" applyNumberFormat="1" applyFont="1" applyFill="1" applyBorder="1" applyAlignment="1">
      <alignment horizontal="center" vertical="top" wrapText="1"/>
    </xf>
    <xf numFmtId="1" fontId="28" fillId="35" borderId="27" xfId="0" applyNumberFormat="1" applyFont="1" applyFill="1" applyBorder="1" applyAlignment="1">
      <alignment vertical="top"/>
    </xf>
    <xf numFmtId="1" fontId="28" fillId="35" borderId="32" xfId="0" applyNumberFormat="1" applyFont="1" applyFill="1" applyBorder="1" applyAlignment="1">
      <alignment vertical="top"/>
    </xf>
    <xf numFmtId="1" fontId="28" fillId="35" borderId="10" xfId="0" applyNumberFormat="1" applyFont="1" applyFill="1" applyBorder="1" applyAlignment="1">
      <alignment vertical="top"/>
    </xf>
    <xf numFmtId="1" fontId="4" fillId="34" borderId="29" xfId="0" applyNumberFormat="1" applyFont="1" applyFill="1" applyBorder="1" applyAlignment="1">
      <alignment horizontal="center" vertical="top"/>
    </xf>
    <xf numFmtId="1" fontId="12" fillId="34" borderId="10" xfId="0" applyNumberFormat="1" applyFont="1" applyFill="1" applyBorder="1" applyAlignment="1">
      <alignment horizontal="center" vertical="top"/>
    </xf>
    <xf numFmtId="1" fontId="8" fillId="34" borderId="34" xfId="0" applyNumberFormat="1" applyFont="1" applyFill="1" applyBorder="1" applyAlignment="1">
      <alignment horizontal="center" vertical="top"/>
    </xf>
    <xf numFmtId="1" fontId="15" fillId="34" borderId="10" xfId="0" applyNumberFormat="1" applyFont="1" applyFill="1" applyBorder="1" applyAlignment="1">
      <alignment horizontal="center" vertical="top"/>
    </xf>
    <xf numFmtId="2" fontId="8" fillId="34" borderId="10" xfId="55" applyNumberFormat="1" applyFont="1" applyFill="1" applyBorder="1" applyAlignment="1">
      <alignment horizontal="right" vertical="top" wrapText="1"/>
      <protection/>
    </xf>
    <xf numFmtId="0" fontId="14" fillId="34" borderId="10" xfId="0" applyFont="1" applyFill="1" applyBorder="1" applyAlignment="1">
      <alignment horizontal="center" vertical="top" wrapText="1"/>
    </xf>
    <xf numFmtId="182" fontId="6" fillId="34" borderId="10" xfId="55" applyNumberFormat="1" applyFont="1" applyFill="1" applyBorder="1" applyAlignment="1">
      <alignment horizontal="right" vertical="center"/>
      <protection/>
    </xf>
    <xf numFmtId="183" fontId="27" fillId="35" borderId="10" xfId="0" applyNumberFormat="1" applyFont="1" applyFill="1" applyBorder="1" applyAlignment="1">
      <alignment horizontal="right" vertical="top" wrapText="1"/>
    </xf>
    <xf numFmtId="0" fontId="3" fillId="33" borderId="27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1" fontId="8" fillId="0" borderId="34" xfId="0" applyNumberFormat="1" applyFont="1" applyBorder="1" applyAlignment="1">
      <alignment horizontal="center" vertical="top"/>
    </xf>
    <xf numFmtId="2" fontId="8" fillId="0" borderId="10" xfId="55" applyNumberFormat="1" applyFont="1" applyFill="1" applyBorder="1" applyAlignment="1">
      <alignment horizontal="right" vertical="top"/>
      <protection/>
    </xf>
    <xf numFmtId="2" fontId="13" fillId="0" borderId="10" xfId="55" applyNumberFormat="1" applyFont="1" applyFill="1" applyBorder="1" applyAlignment="1">
      <alignment horizontal="right" vertical="top"/>
      <protection/>
    </xf>
    <xf numFmtId="0" fontId="2" fillId="0" borderId="0" xfId="0" applyFont="1" applyBorder="1" applyAlignment="1">
      <alignment/>
    </xf>
    <xf numFmtId="0" fontId="9" fillId="0" borderId="27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" fontId="6" fillId="0" borderId="34" xfId="0" applyNumberFormat="1" applyFont="1" applyBorder="1" applyAlignment="1">
      <alignment horizontal="center" vertical="top"/>
    </xf>
    <xf numFmtId="2" fontId="6" fillId="33" borderId="10" xfId="55" applyNumberFormat="1" applyFont="1" applyFill="1" applyBorder="1" applyAlignment="1">
      <alignment horizontal="center" vertical="top" wrapText="1"/>
      <protection/>
    </xf>
    <xf numFmtId="182" fontId="25" fillId="0" borderId="10" xfId="0" applyNumberFormat="1" applyFont="1" applyFill="1" applyBorder="1" applyAlignment="1">
      <alignment horizontal="center" vertical="top" wrapText="1"/>
    </xf>
    <xf numFmtId="182" fontId="6" fillId="0" borderId="0" xfId="55" applyNumberFormat="1" applyFont="1" applyBorder="1" applyAlignment="1">
      <alignment horizontal="right" vertical="center"/>
      <protection/>
    </xf>
    <xf numFmtId="0" fontId="6" fillId="33" borderId="27" xfId="0" applyFont="1" applyFill="1" applyBorder="1" applyAlignment="1">
      <alignment horizontal="center" vertical="top"/>
    </xf>
    <xf numFmtId="0" fontId="6" fillId="33" borderId="33" xfId="0" applyFont="1" applyFill="1" applyBorder="1" applyAlignment="1">
      <alignment horizontal="center" vertical="top"/>
    </xf>
    <xf numFmtId="0" fontId="6" fillId="33" borderId="26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1" fontId="27" fillId="34" borderId="35" xfId="0" applyNumberFormat="1" applyFont="1" applyFill="1" applyBorder="1" applyAlignment="1">
      <alignment horizontal="center" vertical="top" wrapText="1"/>
    </xf>
    <xf numFmtId="2" fontId="8" fillId="35" borderId="10" xfId="55" applyNumberFormat="1" applyFont="1" applyFill="1" applyBorder="1" applyAlignment="1">
      <alignment horizontal="center" vertical="top" wrapText="1"/>
      <protection/>
    </xf>
    <xf numFmtId="182" fontId="27" fillId="34" borderId="10" xfId="0" applyNumberFormat="1" applyFont="1" applyFill="1" applyBorder="1" applyAlignment="1">
      <alignment horizontal="center" vertical="top" wrapText="1"/>
    </xf>
    <xf numFmtId="183" fontId="8" fillId="34" borderId="10" xfId="0" applyNumberFormat="1" applyFont="1" applyFill="1" applyBorder="1" applyAlignment="1">
      <alignment horizontal="right" vertical="top" wrapText="1"/>
    </xf>
    <xf numFmtId="182" fontId="27" fillId="35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182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18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26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lef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13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2" fontId="7" fillId="36" borderId="10" xfId="55" applyNumberFormat="1" applyFont="1" applyFill="1" applyBorder="1" applyAlignment="1">
      <alignment horizontal="right" vertical="center" wrapText="1"/>
      <protection/>
    </xf>
    <xf numFmtId="2" fontId="7" fillId="36" borderId="26" xfId="55" applyNumberFormat="1" applyFont="1" applyFill="1" applyBorder="1" applyAlignment="1">
      <alignment horizontal="right" vertical="center" wrapText="1"/>
      <protection/>
    </xf>
    <xf numFmtId="182" fontId="8" fillId="0" borderId="10" xfId="0" applyNumberFormat="1" applyFont="1" applyFill="1" applyBorder="1" applyAlignment="1">
      <alignment vertical="center" wrapText="1"/>
    </xf>
    <xf numFmtId="182" fontId="7" fillId="36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top" wrapText="1"/>
    </xf>
    <xf numFmtId="1" fontId="3" fillId="0" borderId="10" xfId="0" applyNumberFormat="1" applyFont="1" applyBorder="1" applyAlignment="1">
      <alignment horizontal="right" vertical="top" wrapText="1"/>
    </xf>
    <xf numFmtId="2" fontId="8" fillId="0" borderId="27" xfId="55" applyNumberFormat="1" applyFont="1" applyFill="1" applyBorder="1" applyAlignment="1">
      <alignment horizontal="right" wrapText="1"/>
      <protection/>
    </xf>
    <xf numFmtId="2" fontId="13" fillId="0" borderId="27" xfId="55" applyNumberFormat="1" applyFont="1" applyFill="1" applyBorder="1" applyAlignment="1">
      <alignment horizontal="right" wrapText="1"/>
      <protection/>
    </xf>
    <xf numFmtId="2" fontId="13" fillId="0" borderId="32" xfId="55" applyNumberFormat="1" applyFont="1" applyFill="1" applyBorder="1" applyAlignment="1">
      <alignment horizontal="right" wrapText="1"/>
      <protection/>
    </xf>
    <xf numFmtId="182" fontId="3" fillId="36" borderId="10" xfId="0" applyNumberFormat="1" applyFont="1" applyFill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right" vertical="center" wrapText="1"/>
    </xf>
    <xf numFmtId="1" fontId="4" fillId="0" borderId="17" xfId="0" applyNumberFormat="1" applyFont="1" applyBorder="1" applyAlignment="1">
      <alignment horizontal="right" vertical="center" wrapText="1"/>
    </xf>
    <xf numFmtId="182" fontId="8" fillId="0" borderId="17" xfId="0" applyNumberFormat="1" applyFont="1" applyFill="1" applyBorder="1" applyAlignment="1">
      <alignment vertical="center" wrapText="1"/>
    </xf>
    <xf numFmtId="1" fontId="3" fillId="0" borderId="36" xfId="0" applyNumberFormat="1" applyFont="1" applyBorder="1" applyAlignment="1">
      <alignment horizontal="right" vertical="center" wrapText="1"/>
    </xf>
    <xf numFmtId="2" fontId="3" fillId="0" borderId="10" xfId="55" applyNumberFormat="1" applyFont="1" applyFill="1" applyBorder="1" applyAlignment="1">
      <alignment horizontal="right" vertical="center" wrapText="1"/>
      <protection/>
    </xf>
    <xf numFmtId="2" fontId="3" fillId="0" borderId="17" xfId="55" applyNumberFormat="1" applyFont="1" applyFill="1" applyBorder="1" applyAlignment="1">
      <alignment horizontal="right" vertical="center" wrapText="1"/>
      <protection/>
    </xf>
    <xf numFmtId="182" fontId="7" fillId="36" borderId="17" xfId="0" applyNumberFormat="1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1" fillId="0" borderId="10" xfId="0" applyFont="1" applyBorder="1" applyAlignment="1">
      <alignment horizontal="right" vertical="center"/>
    </xf>
    <xf numFmtId="2" fontId="7" fillId="0" borderId="10" xfId="0" applyNumberFormat="1" applyFont="1" applyBorder="1" applyAlignment="1">
      <alignment horizontal="center" vertical="center"/>
    </xf>
    <xf numFmtId="0" fontId="27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182" fontId="7" fillId="34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182" fontId="7" fillId="0" borderId="0" xfId="0" applyNumberFormat="1" applyFont="1" applyAlignment="1">
      <alignment horizontal="center"/>
    </xf>
    <xf numFmtId="182" fontId="7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37" borderId="10" xfId="5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0" fontId="16" fillId="0" borderId="10" xfId="0" applyFont="1" applyFill="1" applyBorder="1" applyAlignment="1">
      <alignment horizontal="right"/>
    </xf>
    <xf numFmtId="1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3" fontId="7" fillId="37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/>
    </xf>
    <xf numFmtId="2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center"/>
    </xf>
    <xf numFmtId="182" fontId="7" fillId="36" borderId="10" xfId="0" applyNumberFormat="1" applyFont="1" applyFill="1" applyBorder="1" applyAlignment="1">
      <alignment horizontal="right" wrapText="1"/>
    </xf>
    <xf numFmtId="1" fontId="8" fillId="0" borderId="0" xfId="0" applyNumberFormat="1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0" fontId="16" fillId="0" borderId="0" xfId="0" applyFont="1" applyFill="1" applyBorder="1" applyAlignment="1">
      <alignment horizontal="right"/>
    </xf>
    <xf numFmtId="1" fontId="27" fillId="0" borderId="0" xfId="0" applyNumberFormat="1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/>
    </xf>
    <xf numFmtId="2" fontId="8" fillId="0" borderId="0" xfId="0" applyNumberFormat="1" applyFont="1" applyFill="1" applyBorder="1" applyAlignment="1">
      <alignment horizontal="right" wrapText="1"/>
    </xf>
    <xf numFmtId="2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/>
    </xf>
    <xf numFmtId="182" fontId="27" fillId="36" borderId="0" xfId="0" applyNumberFormat="1" applyFont="1" applyFill="1" applyBorder="1" applyAlignment="1">
      <alignment horizontal="right" wrapText="1"/>
    </xf>
    <xf numFmtId="0" fontId="34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82" fontId="7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" fontId="7" fillId="0" borderId="10" xfId="0" applyNumberFormat="1" applyFont="1" applyBorder="1" applyAlignment="1">
      <alignment horizontal="right" wrapText="1"/>
    </xf>
    <xf numFmtId="1" fontId="7" fillId="37" borderId="10" xfId="0" applyNumberFormat="1" applyFont="1" applyFill="1" applyBorder="1" applyAlignment="1">
      <alignment horizontal="center"/>
    </xf>
    <xf numFmtId="182" fontId="7" fillId="0" borderId="10" xfId="0" applyNumberFormat="1" applyFont="1" applyBorder="1" applyAlignment="1">
      <alignment horizontal="center"/>
    </xf>
    <xf numFmtId="182" fontId="7" fillId="0" borderId="10" xfId="0" applyNumberFormat="1" applyFont="1" applyBorder="1" applyAlignment="1">
      <alignment horizontal="center" wrapText="1"/>
    </xf>
    <xf numFmtId="182" fontId="7" fillId="0" borderId="10" xfId="0" applyNumberFormat="1" applyFont="1" applyBorder="1" applyAlignment="1">
      <alignment wrapText="1"/>
    </xf>
    <xf numFmtId="0" fontId="32" fillId="0" borderId="0" xfId="0" applyFont="1" applyAlignment="1">
      <alignment/>
    </xf>
    <xf numFmtId="2" fontId="7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82" fontId="3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center"/>
    </xf>
    <xf numFmtId="1" fontId="79" fillId="0" borderId="15" xfId="0" applyNumberFormat="1" applyFont="1" applyBorder="1" applyAlignment="1">
      <alignment vertical="center"/>
    </xf>
    <xf numFmtId="0" fontId="79" fillId="38" borderId="0" xfId="0" applyFont="1" applyFill="1" applyAlignment="1">
      <alignment vertical="center"/>
    </xf>
    <xf numFmtId="0" fontId="79" fillId="38" borderId="38" xfId="0" applyFont="1" applyFill="1" applyBorder="1" applyAlignment="1">
      <alignment/>
    </xf>
    <xf numFmtId="0" fontId="82" fillId="38" borderId="39" xfId="0" applyFont="1" applyFill="1" applyBorder="1" applyAlignment="1">
      <alignment/>
    </xf>
    <xf numFmtId="0" fontId="82" fillId="38" borderId="0" xfId="0" applyFont="1" applyFill="1" applyBorder="1" applyAlignment="1">
      <alignment/>
    </xf>
    <xf numFmtId="1" fontId="80" fillId="0" borderId="19" xfId="0" applyNumberFormat="1" applyFont="1" applyBorder="1" applyAlignment="1">
      <alignment vertical="center"/>
    </xf>
    <xf numFmtId="181" fontId="82" fillId="0" borderId="40" xfId="59" applyNumberFormat="1" applyFont="1" applyBorder="1" applyAlignment="1">
      <alignment/>
    </xf>
    <xf numFmtId="179" fontId="84" fillId="0" borderId="12" xfId="0" applyNumberFormat="1" applyFont="1" applyBorder="1" applyAlignment="1">
      <alignment/>
    </xf>
    <xf numFmtId="0" fontId="79" fillId="0" borderId="41" xfId="0" applyFont="1" applyBorder="1" applyAlignment="1">
      <alignment/>
    </xf>
    <xf numFmtId="181" fontId="82" fillId="0" borderId="42" xfId="59" applyNumberFormat="1" applyFont="1" applyBorder="1" applyAlignment="1">
      <alignment/>
    </xf>
    <xf numFmtId="0" fontId="82" fillId="0" borderId="40" xfId="0" applyFont="1" applyBorder="1" applyAlignment="1">
      <alignment/>
    </xf>
    <xf numFmtId="0" fontId="82" fillId="0" borderId="42" xfId="0" applyFont="1" applyBorder="1" applyAlignment="1">
      <alignment/>
    </xf>
    <xf numFmtId="0" fontId="79" fillId="0" borderId="43" xfId="0" applyFont="1" applyBorder="1" applyAlignment="1">
      <alignment/>
    </xf>
    <xf numFmtId="179" fontId="79" fillId="0" borderId="44" xfId="0" applyNumberFormat="1" applyFont="1" applyBorder="1" applyAlignment="1">
      <alignment/>
    </xf>
    <xf numFmtId="43" fontId="83" fillId="0" borderId="45" xfId="42" applyNumberFormat="1" applyFont="1" applyBorder="1" applyAlignment="1">
      <alignment/>
    </xf>
    <xf numFmtId="43" fontId="82" fillId="0" borderId="45" xfId="42" applyNumberFormat="1" applyFont="1" applyBorder="1" applyAlignment="1">
      <alignment/>
    </xf>
    <xf numFmtId="43" fontId="82" fillId="0" borderId="44" xfId="42" applyNumberFormat="1" applyFont="1" applyBorder="1" applyAlignment="1">
      <alignment/>
    </xf>
    <xf numFmtId="179" fontId="79" fillId="0" borderId="11" xfId="0" applyNumberFormat="1" applyFont="1" applyBorder="1" applyAlignment="1">
      <alignment/>
    </xf>
    <xf numFmtId="179" fontId="79" fillId="0" borderId="14" xfId="0" applyNumberFormat="1" applyFont="1" applyBorder="1" applyAlignment="1">
      <alignment/>
    </xf>
    <xf numFmtId="181" fontId="82" fillId="0" borderId="46" xfId="59" applyNumberFormat="1" applyFont="1" applyBorder="1" applyAlignment="1">
      <alignment/>
    </xf>
    <xf numFmtId="1" fontId="80" fillId="0" borderId="11" xfId="0" applyNumberFormat="1" applyFont="1" applyBorder="1" applyAlignment="1">
      <alignment vertical="center"/>
    </xf>
    <xf numFmtId="1" fontId="79" fillId="0" borderId="14" xfId="0" applyNumberFormat="1" applyFont="1" applyBorder="1" applyAlignment="1">
      <alignment vertical="center"/>
    </xf>
    <xf numFmtId="0" fontId="82" fillId="38" borderId="38" xfId="0" applyFont="1" applyFill="1" applyBorder="1" applyAlignment="1">
      <alignment/>
    </xf>
    <xf numFmtId="1" fontId="80" fillId="0" borderId="47" xfId="0" applyNumberFormat="1" applyFont="1" applyBorder="1" applyAlignment="1">
      <alignment vertical="center"/>
    </xf>
    <xf numFmtId="2" fontId="79" fillId="0" borderId="10" xfId="0" applyNumberFormat="1" applyFont="1" applyBorder="1" applyAlignment="1">
      <alignment horizontal="center" vertical="center"/>
    </xf>
    <xf numFmtId="1" fontId="79" fillId="0" borderId="43" xfId="0" applyNumberFormat="1" applyFont="1" applyBorder="1" applyAlignment="1">
      <alignment vertical="center"/>
    </xf>
    <xf numFmtId="2" fontId="79" fillId="0" borderId="45" xfId="0" applyNumberFormat="1" applyFont="1" applyBorder="1" applyAlignment="1">
      <alignment horizontal="center" vertical="center"/>
    </xf>
    <xf numFmtId="180" fontId="79" fillId="0" borderId="45" xfId="42" applyNumberFormat="1" applyFont="1" applyBorder="1" applyAlignment="1">
      <alignment vertical="center"/>
    </xf>
    <xf numFmtId="2" fontId="80" fillId="0" borderId="48" xfId="0" applyNumberFormat="1" applyFont="1" applyBorder="1" applyAlignment="1">
      <alignment vertical="center"/>
    </xf>
    <xf numFmtId="2" fontId="79" fillId="0" borderId="26" xfId="0" applyNumberFormat="1" applyFont="1" applyBorder="1" applyAlignment="1">
      <alignment vertical="center"/>
    </xf>
    <xf numFmtId="0" fontId="80" fillId="39" borderId="17" xfId="0" applyFont="1" applyFill="1" applyBorder="1" applyAlignment="1">
      <alignment horizontal="center" vertical="center"/>
    </xf>
    <xf numFmtId="1" fontId="79" fillId="0" borderId="20" xfId="0" applyNumberFormat="1" applyFont="1" applyBorder="1" applyAlignment="1">
      <alignment vertical="center"/>
    </xf>
    <xf numFmtId="180" fontId="79" fillId="0" borderId="17" xfId="42" applyNumberFormat="1" applyFont="1" applyBorder="1" applyAlignment="1">
      <alignment vertical="center"/>
    </xf>
    <xf numFmtId="0" fontId="80" fillId="0" borderId="47" xfId="0" applyFont="1" applyBorder="1" applyAlignment="1">
      <alignment horizontal="center" vertical="center"/>
    </xf>
    <xf numFmtId="2" fontId="80" fillId="0" borderId="22" xfId="0" applyNumberFormat="1" applyFont="1" applyBorder="1" applyAlignment="1">
      <alignment horizontal="center" vertical="center"/>
    </xf>
    <xf numFmtId="2" fontId="80" fillId="0" borderId="21" xfId="0" applyNumberFormat="1" applyFont="1" applyBorder="1" applyAlignment="1">
      <alignment horizontal="center" vertical="center"/>
    </xf>
    <xf numFmtId="2" fontId="80" fillId="0" borderId="23" xfId="0" applyNumberFormat="1" applyFont="1" applyBorder="1" applyAlignment="1">
      <alignment horizontal="center" vertical="center"/>
    </xf>
    <xf numFmtId="2" fontId="80" fillId="0" borderId="40" xfId="0" applyNumberFormat="1" applyFont="1" applyBorder="1" applyAlignment="1">
      <alignment horizontal="center" vertical="center"/>
    </xf>
    <xf numFmtId="2" fontId="80" fillId="0" borderId="40" xfId="0" applyNumberFormat="1" applyFont="1" applyBorder="1" applyAlignment="1">
      <alignment vertical="center"/>
    </xf>
    <xf numFmtId="180" fontId="80" fillId="0" borderId="40" xfId="42" applyNumberFormat="1" applyFont="1" applyBorder="1" applyAlignment="1">
      <alignment vertical="center"/>
    </xf>
    <xf numFmtId="180" fontId="81" fillId="0" borderId="42" xfId="42" applyNumberFormat="1" applyFont="1" applyBorder="1" applyAlignment="1">
      <alignment vertical="center"/>
    </xf>
    <xf numFmtId="1" fontId="5" fillId="0" borderId="4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1" fontId="5" fillId="0" borderId="21" xfId="0" applyNumberFormat="1" applyFont="1" applyBorder="1" applyAlignment="1">
      <alignment vertical="center"/>
    </xf>
    <xf numFmtId="179" fontId="35" fillId="0" borderId="16" xfId="0" applyNumberFormat="1" applyFont="1" applyBorder="1" applyAlignment="1">
      <alignment/>
    </xf>
    <xf numFmtId="1" fontId="5" fillId="0" borderId="47" xfId="0" applyNumberFormat="1" applyFont="1" applyBorder="1" applyAlignment="1">
      <alignment horizontal="center" vertical="center"/>
    </xf>
    <xf numFmtId="0" fontId="85" fillId="0" borderId="21" xfId="0" applyFont="1" applyBorder="1" applyAlignment="1">
      <alignment horizontal="left" vertical="center" wrapText="1"/>
    </xf>
    <xf numFmtId="0" fontId="85" fillId="0" borderId="47" xfId="0" applyFont="1" applyBorder="1" applyAlignment="1">
      <alignment vertical="center"/>
    </xf>
    <xf numFmtId="2" fontId="85" fillId="0" borderId="22" xfId="0" applyNumberFormat="1" applyFont="1" applyBorder="1" applyAlignment="1">
      <alignment vertical="center"/>
    </xf>
    <xf numFmtId="2" fontId="85" fillId="0" borderId="21" xfId="0" applyNumberFormat="1" applyFont="1" applyBorder="1" applyAlignment="1">
      <alignment vertical="center"/>
    </xf>
    <xf numFmtId="1" fontId="85" fillId="0" borderId="47" xfId="0" applyNumberFormat="1" applyFont="1" applyBorder="1" applyAlignment="1">
      <alignment vertical="center"/>
    </xf>
    <xf numFmtId="2" fontId="85" fillId="0" borderId="23" xfId="0" applyNumberFormat="1" applyFont="1" applyBorder="1" applyAlignment="1">
      <alignment vertical="center"/>
    </xf>
    <xf numFmtId="180" fontId="85" fillId="0" borderId="23" xfId="42" applyNumberFormat="1" applyFont="1" applyBorder="1" applyAlignment="1">
      <alignment vertical="center"/>
    </xf>
    <xf numFmtId="180" fontId="86" fillId="0" borderId="22" xfId="42" applyNumberFormat="1" applyFont="1" applyBorder="1" applyAlignment="1">
      <alignment vertical="center"/>
    </xf>
    <xf numFmtId="0" fontId="79" fillId="0" borderId="49" xfId="0" applyFont="1" applyBorder="1" applyAlignment="1">
      <alignment horizontal="left" vertical="center" wrapText="1"/>
    </xf>
    <xf numFmtId="2" fontId="79" fillId="0" borderId="18" xfId="0" applyNumberFormat="1" applyFont="1" applyBorder="1" applyAlignment="1">
      <alignment vertical="center"/>
    </xf>
    <xf numFmtId="1" fontId="79" fillId="0" borderId="49" xfId="0" applyNumberFormat="1" applyFont="1" applyBorder="1" applyAlignment="1">
      <alignment vertical="center"/>
    </xf>
    <xf numFmtId="2" fontId="79" fillId="0" borderId="50" xfId="0" applyNumberFormat="1" applyFont="1" applyBorder="1" applyAlignment="1">
      <alignment vertical="center"/>
    </xf>
    <xf numFmtId="0" fontId="80" fillId="0" borderId="51" xfId="0" applyFont="1" applyBorder="1" applyAlignment="1">
      <alignment horizontal="left" vertical="center" wrapText="1"/>
    </xf>
    <xf numFmtId="0" fontId="80" fillId="0" borderId="52" xfId="0" applyFont="1" applyBorder="1" applyAlignment="1">
      <alignment horizontal="left" vertical="center" wrapText="1"/>
    </xf>
    <xf numFmtId="0" fontId="79" fillId="0" borderId="53" xfId="0" applyFont="1" applyBorder="1" applyAlignment="1">
      <alignment horizontal="left" vertical="center" wrapText="1"/>
    </xf>
    <xf numFmtId="2" fontId="80" fillId="0" borderId="40" xfId="0" applyNumberFormat="1" applyFont="1" applyBorder="1" applyAlignment="1">
      <alignment horizontal="center"/>
    </xf>
    <xf numFmtId="1" fontId="80" fillId="0" borderId="41" xfId="0" applyNumberFormat="1" applyFont="1" applyBorder="1" applyAlignment="1">
      <alignment vertical="center"/>
    </xf>
    <xf numFmtId="3" fontId="7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/>
    </xf>
    <xf numFmtId="182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>
      <alignment/>
    </xf>
    <xf numFmtId="182" fontId="78" fillId="0" borderId="10" xfId="0" applyNumberFormat="1" applyFont="1" applyBorder="1" applyAlignment="1">
      <alignment/>
    </xf>
    <xf numFmtId="182" fontId="87" fillId="0" borderId="10" xfId="0" applyNumberFormat="1" applyFont="1" applyBorder="1" applyAlignment="1">
      <alignment/>
    </xf>
    <xf numFmtId="182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59" applyNumberFormat="1" applyFont="1" applyAlignment="1">
      <alignment/>
    </xf>
    <xf numFmtId="1" fontId="77" fillId="0" borderId="0" xfId="0" applyNumberFormat="1" applyFont="1" applyAlignment="1">
      <alignment/>
    </xf>
    <xf numFmtId="9" fontId="83" fillId="0" borderId="17" xfId="59" applyFont="1" applyBorder="1" applyAlignment="1">
      <alignment/>
    </xf>
    <xf numFmtId="9" fontId="83" fillId="0" borderId="45" xfId="59" applyFont="1" applyBorder="1" applyAlignment="1">
      <alignment/>
    </xf>
    <xf numFmtId="43" fontId="83" fillId="0" borderId="48" xfId="42" applyNumberFormat="1" applyFont="1" applyBorder="1" applyAlignment="1">
      <alignment/>
    </xf>
    <xf numFmtId="43" fontId="83" fillId="0" borderId="26" xfId="42" applyNumberFormat="1" applyFont="1" applyBorder="1" applyAlignment="1">
      <alignment/>
    </xf>
    <xf numFmtId="43" fontId="83" fillId="0" borderId="54" xfId="42" applyNumberFormat="1" applyFont="1" applyBorder="1" applyAlignment="1">
      <alignment/>
    </xf>
    <xf numFmtId="0" fontId="79" fillId="0" borderId="55" xfId="0" applyFont="1" applyBorder="1" applyAlignment="1">
      <alignment/>
    </xf>
    <xf numFmtId="0" fontId="79" fillId="0" borderId="37" xfId="0" applyFont="1" applyBorder="1" applyAlignment="1">
      <alignment/>
    </xf>
    <xf numFmtId="0" fontId="79" fillId="0" borderId="56" xfId="0" applyFont="1" applyBorder="1" applyAlignment="1">
      <alignment/>
    </xf>
    <xf numFmtId="0" fontId="79" fillId="0" borderId="57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45" xfId="0" applyFont="1" applyBorder="1" applyAlignment="1">
      <alignment/>
    </xf>
    <xf numFmtId="1" fontId="80" fillId="0" borderId="55" xfId="0" applyNumberFormat="1" applyFont="1" applyBorder="1" applyAlignment="1">
      <alignment vertical="center"/>
    </xf>
    <xf numFmtId="1" fontId="79" fillId="0" borderId="37" xfId="0" applyNumberFormat="1" applyFont="1" applyBorder="1" applyAlignment="1">
      <alignment vertical="center"/>
    </xf>
    <xf numFmtId="1" fontId="79" fillId="0" borderId="56" xfId="0" applyNumberFormat="1" applyFont="1" applyBorder="1" applyAlignment="1">
      <alignment vertical="center"/>
    </xf>
    <xf numFmtId="1" fontId="80" fillId="0" borderId="58" xfId="0" applyNumberFormat="1" applyFont="1" applyBorder="1" applyAlignment="1">
      <alignment vertical="center"/>
    </xf>
    <xf numFmtId="2" fontId="80" fillId="0" borderId="30" xfId="0" applyNumberFormat="1" applyFont="1" applyBorder="1" applyAlignment="1">
      <alignment vertical="center"/>
    </xf>
    <xf numFmtId="180" fontId="80" fillId="0" borderId="30" xfId="42" applyNumberFormat="1" applyFont="1" applyBorder="1" applyAlignment="1">
      <alignment vertical="center"/>
    </xf>
    <xf numFmtId="180" fontId="81" fillId="0" borderId="59" xfId="42" applyNumberFormat="1" applyFont="1" applyBorder="1" applyAlignment="1">
      <alignment vertical="center"/>
    </xf>
    <xf numFmtId="180" fontId="88" fillId="0" borderId="16" xfId="42" applyNumberFormat="1" applyFont="1" applyBorder="1" applyAlignment="1">
      <alignment vertical="center"/>
    </xf>
    <xf numFmtId="180" fontId="88" fillId="0" borderId="44" xfId="42" applyNumberFormat="1" applyFont="1" applyBorder="1" applyAlignment="1">
      <alignment vertical="center"/>
    </xf>
    <xf numFmtId="2" fontId="84" fillId="0" borderId="10" xfId="0" applyNumberFormat="1" applyFont="1" applyBorder="1" applyAlignment="1">
      <alignment vertical="center"/>
    </xf>
    <xf numFmtId="2" fontId="84" fillId="0" borderId="45" xfId="0" applyNumberFormat="1" applyFont="1" applyBorder="1" applyAlignment="1">
      <alignment vertical="center"/>
    </xf>
    <xf numFmtId="2" fontId="84" fillId="0" borderId="17" xfId="0" applyNumberFormat="1" applyFont="1" applyBorder="1" applyAlignment="1">
      <alignment vertical="center"/>
    </xf>
    <xf numFmtId="180" fontId="88" fillId="0" borderId="59" xfId="42" applyNumberFormat="1" applyFont="1" applyBorder="1" applyAlignment="1">
      <alignment vertical="center"/>
    </xf>
    <xf numFmtId="2" fontId="84" fillId="0" borderId="10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>
      <alignment horizontal="center" vertical="center"/>
    </xf>
    <xf numFmtId="1" fontId="85" fillId="0" borderId="60" xfId="0" applyNumberFormat="1" applyFont="1" applyBorder="1" applyAlignment="1">
      <alignment vertical="center"/>
    </xf>
    <xf numFmtId="0" fontId="79" fillId="38" borderId="0" xfId="0" applyFont="1" applyFill="1" applyBorder="1" applyAlignment="1">
      <alignment/>
    </xf>
    <xf numFmtId="0" fontId="79" fillId="0" borderId="61" xfId="0" applyFont="1" applyBorder="1" applyAlignment="1">
      <alignment/>
    </xf>
    <xf numFmtId="1" fontId="80" fillId="0" borderId="55" xfId="0" applyNumberFormat="1" applyFont="1" applyBorder="1" applyAlignment="1">
      <alignment horizontal="center" vertical="center"/>
    </xf>
    <xf numFmtId="1" fontId="79" fillId="0" borderId="37" xfId="0" applyNumberFormat="1" applyFont="1" applyBorder="1" applyAlignment="1">
      <alignment horizontal="center" vertical="center"/>
    </xf>
    <xf numFmtId="1" fontId="80" fillId="0" borderId="61" xfId="0" applyNumberFormat="1" applyFont="1" applyBorder="1" applyAlignment="1">
      <alignment horizontal="center" vertical="center"/>
    </xf>
    <xf numFmtId="1" fontId="80" fillId="0" borderId="60" xfId="0" applyNumberFormat="1" applyFont="1" applyBorder="1" applyAlignment="1">
      <alignment horizontal="center" vertical="center"/>
    </xf>
    <xf numFmtId="9" fontId="0" fillId="0" borderId="0" xfId="59" applyFont="1" applyAlignment="1">
      <alignment/>
    </xf>
    <xf numFmtId="182" fontId="7" fillId="0" borderId="0" xfId="0" applyNumberFormat="1" applyFont="1" applyAlignment="1">
      <alignment horizontal="center"/>
    </xf>
    <xf numFmtId="181" fontId="7" fillId="0" borderId="0" xfId="59" applyNumberFormat="1" applyFont="1" applyAlignment="1">
      <alignment horizontal="center"/>
    </xf>
    <xf numFmtId="9" fontId="89" fillId="40" borderId="0" xfId="59" applyFont="1" applyFill="1" applyBorder="1" applyAlignment="1">
      <alignment/>
    </xf>
    <xf numFmtId="181" fontId="82" fillId="0" borderId="0" xfId="59" applyNumberFormat="1" applyFont="1" applyAlignment="1">
      <alignment/>
    </xf>
    <xf numFmtId="181" fontId="89" fillId="0" borderId="0" xfId="59" applyNumberFormat="1" applyFont="1" applyAlignment="1">
      <alignment/>
    </xf>
    <xf numFmtId="2" fontId="90" fillId="0" borderId="0" xfId="0" applyNumberFormat="1" applyFont="1" applyAlignment="1">
      <alignment/>
    </xf>
    <xf numFmtId="0" fontId="80" fillId="39" borderId="13" xfId="0" applyFont="1" applyFill="1" applyBorder="1" applyAlignment="1">
      <alignment horizontal="center" vertical="center"/>
    </xf>
    <xf numFmtId="0" fontId="81" fillId="39" borderId="12" xfId="0" applyFont="1" applyFill="1" applyBorder="1" applyAlignment="1">
      <alignment horizontal="center" vertical="center" wrapText="1"/>
    </xf>
    <xf numFmtId="0" fontId="81" fillId="39" borderId="18" xfId="0" applyFont="1" applyFill="1" applyBorder="1" applyAlignment="1">
      <alignment horizontal="center" vertical="center" wrapText="1"/>
    </xf>
    <xf numFmtId="0" fontId="80" fillId="39" borderId="62" xfId="0" applyFont="1" applyFill="1" applyBorder="1" applyAlignment="1">
      <alignment horizontal="center" vertical="center"/>
    </xf>
    <xf numFmtId="0" fontId="80" fillId="39" borderId="63" xfId="0" applyFont="1" applyFill="1" applyBorder="1" applyAlignment="1">
      <alignment horizontal="center" vertical="center"/>
    </xf>
    <xf numFmtId="0" fontId="80" fillId="39" borderId="19" xfId="0" applyFont="1" applyFill="1" applyBorder="1" applyAlignment="1">
      <alignment horizontal="center" vertical="center"/>
    </xf>
    <xf numFmtId="0" fontId="80" fillId="39" borderId="20" xfId="0" applyFont="1" applyFill="1" applyBorder="1" applyAlignment="1">
      <alignment horizontal="center" vertical="center"/>
    </xf>
    <xf numFmtId="0" fontId="79" fillId="39" borderId="62" xfId="0" applyFont="1" applyFill="1" applyBorder="1" applyAlignment="1">
      <alignment horizontal="center" vertical="center"/>
    </xf>
    <xf numFmtId="0" fontId="79" fillId="39" borderId="38" xfId="0" applyFont="1" applyFill="1" applyBorder="1" applyAlignment="1">
      <alignment horizontal="center" vertical="center"/>
    </xf>
    <xf numFmtId="0" fontId="79" fillId="39" borderId="46" xfId="0" applyFont="1" applyFill="1" applyBorder="1" applyAlignment="1">
      <alignment horizontal="center" vertical="center"/>
    </xf>
    <xf numFmtId="0" fontId="80" fillId="39" borderId="21" xfId="0" applyFont="1" applyFill="1" applyBorder="1" applyAlignment="1">
      <alignment horizontal="center"/>
    </xf>
    <xf numFmtId="0" fontId="80" fillId="39" borderId="64" xfId="0" applyFont="1" applyFill="1" applyBorder="1" applyAlignment="1">
      <alignment horizontal="center"/>
    </xf>
    <xf numFmtId="0" fontId="80" fillId="39" borderId="65" xfId="0" applyFont="1" applyFill="1" applyBorder="1" applyAlignment="1">
      <alignment horizontal="center"/>
    </xf>
    <xf numFmtId="0" fontId="80" fillId="39" borderId="66" xfId="0" applyFont="1" applyFill="1" applyBorder="1" applyAlignment="1">
      <alignment horizontal="center"/>
    </xf>
    <xf numFmtId="0" fontId="80" fillId="39" borderId="63" xfId="0" applyFont="1" applyFill="1" applyBorder="1" applyAlignment="1">
      <alignment horizontal="center"/>
    </xf>
    <xf numFmtId="0" fontId="80" fillId="39" borderId="67" xfId="0" applyFont="1" applyFill="1" applyBorder="1" applyAlignment="1">
      <alignment horizontal="center"/>
    </xf>
    <xf numFmtId="0" fontId="80" fillId="39" borderId="68" xfId="0" applyFont="1" applyFill="1" applyBorder="1" applyAlignment="1">
      <alignment horizontal="center"/>
    </xf>
    <xf numFmtId="0" fontId="80" fillId="39" borderId="66" xfId="0" applyFont="1" applyFill="1" applyBorder="1" applyAlignment="1">
      <alignment horizontal="center" vertical="center"/>
    </xf>
    <xf numFmtId="0" fontId="80" fillId="39" borderId="41" xfId="0" applyFont="1" applyFill="1" applyBorder="1" applyAlignment="1">
      <alignment horizontal="center" vertical="center"/>
    </xf>
    <xf numFmtId="0" fontId="80" fillId="39" borderId="68" xfId="0" applyFont="1" applyFill="1" applyBorder="1" applyAlignment="1">
      <alignment horizontal="center" vertical="center"/>
    </xf>
    <xf numFmtId="0" fontId="80" fillId="39" borderId="42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horizontal="center" vertical="center" wrapText="1"/>
    </xf>
    <xf numFmtId="0" fontId="16" fillId="36" borderId="36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left" vertical="center" wrapText="1"/>
    </xf>
    <xf numFmtId="0" fontId="33" fillId="0" borderId="29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7" fillId="0" borderId="17" xfId="55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0" xfId="0" applyBorder="1" applyAlignment="1">
      <alignment wrapText="1"/>
    </xf>
    <xf numFmtId="0" fontId="7" fillId="0" borderId="26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6" fillId="36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top" wrapText="1"/>
    </xf>
    <xf numFmtId="0" fontId="5" fillId="0" borderId="10" xfId="55" applyFont="1" applyBorder="1" applyAlignment="1">
      <alignment horizontal="center" vertical="center"/>
      <protection/>
    </xf>
    <xf numFmtId="0" fontId="22" fillId="0" borderId="29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14" fontId="8" fillId="0" borderId="37" xfId="0" applyNumberFormat="1" applyFont="1" applyBorder="1" applyAlignment="1">
      <alignment horizontal="center" vertical="center" wrapText="1"/>
    </xf>
    <xf numFmtId="14" fontId="8" fillId="0" borderId="29" xfId="0" applyNumberFormat="1" applyFont="1" applyBorder="1" applyAlignment="1">
      <alignment horizontal="center" vertical="center" wrapText="1"/>
    </xf>
    <xf numFmtId="0" fontId="7" fillId="0" borderId="26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7" fillId="0" borderId="37" xfId="55" applyFont="1" applyBorder="1" applyAlignment="1">
      <alignment horizontal="center" vertical="center" wrapText="1"/>
      <protection/>
    </xf>
    <xf numFmtId="14" fontId="8" fillId="0" borderId="10" xfId="0" applyNumberFormat="1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8" fillId="0" borderId="17" xfId="55" applyFont="1" applyBorder="1" applyAlignment="1">
      <alignment horizontal="center" vertical="center" wrapText="1"/>
      <protection/>
    </xf>
    <xf numFmtId="0" fontId="8" fillId="0" borderId="30" xfId="0" applyFont="1" applyBorder="1" applyAlignment="1">
      <alignment horizontal="center" vertical="center" wrapText="1"/>
    </xf>
    <xf numFmtId="0" fontId="8" fillId="0" borderId="10" xfId="55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05 indici noi 0,3%" xfId="55"/>
    <cellStyle name="Normal_Unele categ. bs 2005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em%20crestere%20copii_900-1100_201309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ilat"/>
      <sheetName val="1100"/>
      <sheetName val="1000"/>
      <sheetName val="900"/>
      <sheetName val="copii BASS"/>
      <sheetName val="copii BS"/>
      <sheetName val="tranz1"/>
      <sheetName val="unica asig"/>
    </sheetNames>
    <sheetDataSet>
      <sheetData sheetId="5">
        <row r="14">
          <cell r="N14">
            <v>39883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zoomScale="89" zoomScaleNormal="89" zoomScalePageLayoutView="0" workbookViewId="0" topLeftCell="A1">
      <pane xSplit="1" ySplit="3" topLeftCell="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8" sqref="O8"/>
    </sheetView>
  </sheetViews>
  <sheetFormatPr defaultColWidth="9.140625" defaultRowHeight="15"/>
  <cols>
    <col min="1" max="1" width="77.57421875" style="3" bestFit="1" customWidth="1"/>
    <col min="2" max="2" width="7.57421875" style="3" bestFit="1" customWidth="1"/>
    <col min="3" max="3" width="12.8515625" style="15" bestFit="1" customWidth="1"/>
    <col min="4" max="4" width="9.57421875" style="15" bestFit="1" customWidth="1"/>
    <col min="5" max="5" width="13.140625" style="15" bestFit="1" customWidth="1"/>
    <col min="6" max="6" width="7.57421875" style="3" bestFit="1" customWidth="1"/>
    <col min="7" max="7" width="13.28125" style="15" bestFit="1" customWidth="1"/>
    <col min="8" max="8" width="13.28125" style="15" customWidth="1"/>
    <col min="9" max="9" width="18.7109375" style="15" bestFit="1" customWidth="1"/>
    <col min="10" max="10" width="21.00390625" style="15" bestFit="1" customWidth="1"/>
    <col min="11" max="11" width="21.57421875" style="15" customWidth="1"/>
    <col min="12" max="12" width="7.421875" style="3" bestFit="1" customWidth="1"/>
    <col min="13" max="13" width="7.421875" style="3" customWidth="1"/>
    <col min="14" max="14" width="13.28125" style="15" bestFit="1" customWidth="1"/>
    <col min="15" max="15" width="12.8515625" style="15" customWidth="1"/>
    <col min="16" max="16" width="18.7109375" style="15" bestFit="1" customWidth="1"/>
    <col min="17" max="17" width="21.00390625" style="15" bestFit="1" customWidth="1"/>
    <col min="18" max="18" width="23.00390625" style="15" customWidth="1"/>
    <col min="19" max="19" width="7.421875" style="3" bestFit="1" customWidth="1"/>
    <col min="20" max="20" width="8.28125" style="3" bestFit="1" customWidth="1"/>
    <col min="21" max="21" width="13.28125" style="15" bestFit="1" customWidth="1"/>
    <col min="22" max="22" width="12.8515625" style="15" customWidth="1"/>
    <col min="23" max="24" width="21.00390625" style="15" bestFit="1" customWidth="1"/>
    <col min="25" max="25" width="22.7109375" style="15" customWidth="1"/>
    <col min="26" max="16384" width="9.140625" style="3" customWidth="1"/>
  </cols>
  <sheetData>
    <row r="1" spans="1:25" ht="16.5" customHeight="1" thickBot="1">
      <c r="A1" s="380"/>
      <c r="B1" s="383">
        <v>2012</v>
      </c>
      <c r="C1" s="384"/>
      <c r="D1" s="383">
        <v>2013</v>
      </c>
      <c r="E1" s="384"/>
      <c r="F1" s="383">
        <v>2014</v>
      </c>
      <c r="G1" s="385"/>
      <c r="H1" s="385"/>
      <c r="I1" s="385"/>
      <c r="J1" s="385"/>
      <c r="K1" s="384"/>
      <c r="L1" s="386">
        <v>2015</v>
      </c>
      <c r="M1" s="387"/>
      <c r="N1" s="388"/>
      <c r="O1" s="388"/>
      <c r="P1" s="388"/>
      <c r="Q1" s="388"/>
      <c r="R1" s="389"/>
      <c r="S1" s="386">
        <v>2016</v>
      </c>
      <c r="T1" s="387"/>
      <c r="U1" s="388"/>
      <c r="V1" s="388"/>
      <c r="W1" s="388"/>
      <c r="X1" s="388"/>
      <c r="Y1" s="389"/>
    </row>
    <row r="2" spans="1:25" ht="16.5" customHeight="1">
      <c r="A2" s="381"/>
      <c r="B2" s="390" t="s">
        <v>0</v>
      </c>
      <c r="C2" s="392" t="s">
        <v>1</v>
      </c>
      <c r="D2" s="390" t="s">
        <v>0</v>
      </c>
      <c r="E2" s="392" t="s">
        <v>1</v>
      </c>
      <c r="F2" s="378" t="s">
        <v>0</v>
      </c>
      <c r="G2" s="373" t="s">
        <v>1</v>
      </c>
      <c r="H2" s="373"/>
      <c r="I2" s="373" t="s">
        <v>14</v>
      </c>
      <c r="J2" s="373"/>
      <c r="K2" s="374" t="s">
        <v>15</v>
      </c>
      <c r="L2" s="376" t="s">
        <v>0</v>
      </c>
      <c r="M2" s="377"/>
      <c r="N2" s="373" t="s">
        <v>1</v>
      </c>
      <c r="O2" s="373"/>
      <c r="P2" s="373" t="s">
        <v>14</v>
      </c>
      <c r="Q2" s="373"/>
      <c r="R2" s="374" t="s">
        <v>15</v>
      </c>
      <c r="S2" s="376" t="s">
        <v>0</v>
      </c>
      <c r="T2" s="377"/>
      <c r="U2" s="373" t="s">
        <v>1</v>
      </c>
      <c r="V2" s="373"/>
      <c r="W2" s="373" t="s">
        <v>14</v>
      </c>
      <c r="X2" s="373"/>
      <c r="Y2" s="374" t="s">
        <v>15</v>
      </c>
    </row>
    <row r="3" spans="1:25" ht="16.5" customHeight="1" thickBot="1">
      <c r="A3" s="382"/>
      <c r="B3" s="391"/>
      <c r="C3" s="393"/>
      <c r="D3" s="391"/>
      <c r="E3" s="393"/>
      <c r="F3" s="379"/>
      <c r="G3" s="288" t="s">
        <v>13</v>
      </c>
      <c r="H3" s="288" t="s">
        <v>17</v>
      </c>
      <c r="I3" s="288" t="s">
        <v>13</v>
      </c>
      <c r="J3" s="288" t="s">
        <v>17</v>
      </c>
      <c r="K3" s="375"/>
      <c r="L3" s="288" t="s">
        <v>13</v>
      </c>
      <c r="M3" s="288" t="s">
        <v>17</v>
      </c>
      <c r="N3" s="288" t="s">
        <v>13</v>
      </c>
      <c r="O3" s="288" t="s">
        <v>17</v>
      </c>
      <c r="P3" s="288" t="s">
        <v>13</v>
      </c>
      <c r="Q3" s="288" t="s">
        <v>17</v>
      </c>
      <c r="R3" s="375"/>
      <c r="S3" s="288" t="s">
        <v>13</v>
      </c>
      <c r="T3" s="288" t="s">
        <v>17</v>
      </c>
      <c r="U3" s="288" t="s">
        <v>13</v>
      </c>
      <c r="V3" s="288" t="s">
        <v>17</v>
      </c>
      <c r="W3" s="288" t="s">
        <v>13</v>
      </c>
      <c r="X3" s="288" t="s">
        <v>17</v>
      </c>
      <c r="Y3" s="375"/>
    </row>
    <row r="4" spans="1:25" s="9" customFormat="1" ht="19.5" customHeight="1">
      <c r="A4" s="4" t="s">
        <v>18</v>
      </c>
      <c r="B4" s="263">
        <f>SUM(B5:B6)</f>
        <v>36669</v>
      </c>
      <c r="C4" s="5">
        <f>(B5*C5+B6*C6)/B4</f>
        <v>2448.539638386648</v>
      </c>
      <c r="D4" s="278">
        <f>SUM(D5:D6)</f>
        <v>39895</v>
      </c>
      <c r="E4" s="286">
        <f>(D5*E5+D6*E6)/D4</f>
        <v>2741.4838952249656</v>
      </c>
      <c r="F4" s="263">
        <f>SUM(F5:F6)</f>
        <v>37936.5</v>
      </c>
      <c r="G4" s="6">
        <f>(F5*G5+F6*G6)/F4</f>
        <v>3246.174528488395</v>
      </c>
      <c r="H4" s="6">
        <f>(F5*H5+F6*H6)/F4</f>
        <v>4368.0960000000005</v>
      </c>
      <c r="I4" s="7">
        <f>SUM(I5:I6)</f>
        <v>123148.5</v>
      </c>
      <c r="J4" s="7">
        <f>SUM(J5:J6)</f>
        <v>165710.273904</v>
      </c>
      <c r="K4" s="8">
        <f aca="true" t="shared" si="0" ref="K4:K13">J4-I4</f>
        <v>42561.773904</v>
      </c>
      <c r="L4" s="344">
        <f>SUM(L5:L6)</f>
        <v>37936.5</v>
      </c>
      <c r="M4" s="362" t="s">
        <v>75</v>
      </c>
      <c r="N4" s="6">
        <f>(L5*N5+L6*N6)/L4</f>
        <v>3746.174528488395</v>
      </c>
      <c r="O4" s="6">
        <f>(L5*O5+L6*O6)/L4</f>
        <v>4555.924128000001</v>
      </c>
      <c r="P4" s="7">
        <f>SUM(P5:P6)</f>
        <v>142116.75</v>
      </c>
      <c r="Q4" s="7">
        <f>SUM(Q5:Q6)</f>
        <v>172835.81568187202</v>
      </c>
      <c r="R4" s="8">
        <f aca="true" t="shared" si="1" ref="R4:R13">Q4-P4</f>
        <v>30719.065681872016</v>
      </c>
      <c r="S4" s="263">
        <f>SUM(S5:S6)</f>
        <v>37936.5</v>
      </c>
      <c r="T4" s="362" t="s">
        <v>75</v>
      </c>
      <c r="U4" s="6">
        <f>(S5*U5+S6*U6)/S4</f>
        <v>4246.1745284883955</v>
      </c>
      <c r="V4" s="6">
        <f>(S5*V5+S6*V6)/S4</f>
        <v>4783.720334400001</v>
      </c>
      <c r="W4" s="7">
        <f>SUM(W5:W6)</f>
        <v>161085</v>
      </c>
      <c r="X4" s="7">
        <f>SUM(X5:X6)</f>
        <v>181477.60646596563</v>
      </c>
      <c r="Y4" s="8">
        <f aca="true" t="shared" si="2" ref="Y4:Y13">X4-W4</f>
        <v>20392.606465965626</v>
      </c>
    </row>
    <row r="5" spans="1:25" ht="19.5" customHeight="1">
      <c r="A5" s="10" t="s">
        <v>70</v>
      </c>
      <c r="B5" s="258">
        <f>'copii BS'!H8+'unica asig'!F7</f>
        <v>18513</v>
      </c>
      <c r="C5" s="12">
        <v>2300</v>
      </c>
      <c r="D5" s="279">
        <f>'copii BS'!M8+'unica asig'!I7</f>
        <v>21080</v>
      </c>
      <c r="E5" s="287">
        <v>2600</v>
      </c>
      <c r="F5" s="258">
        <f>'copii BS'!N8+'unica asig'!J7</f>
        <v>19452</v>
      </c>
      <c r="G5" s="353">
        <f>E5+500</f>
        <v>3100</v>
      </c>
      <c r="H5" s="282">
        <f>G15</f>
        <v>4368.0960000000005</v>
      </c>
      <c r="I5" s="14">
        <f>F5*G5/1000</f>
        <v>60301.2</v>
      </c>
      <c r="J5" s="14">
        <f>F5*H5/1000</f>
        <v>84968.20339200001</v>
      </c>
      <c r="K5" s="351">
        <f t="shared" si="0"/>
        <v>24667.003392000013</v>
      </c>
      <c r="L5" s="345">
        <f>'copii BS'!O8+'unica asig'!K7</f>
        <v>19452</v>
      </c>
      <c r="M5" s="363" t="s">
        <v>75</v>
      </c>
      <c r="N5" s="353">
        <f>G5+500</f>
        <v>3600</v>
      </c>
      <c r="O5" s="282">
        <f>N15</f>
        <v>4555.924128000001</v>
      </c>
      <c r="P5" s="14">
        <f>L5*N5/1000</f>
        <v>70027.2</v>
      </c>
      <c r="Q5" s="14">
        <f>L5*O5/1000</f>
        <v>88621.83613785601</v>
      </c>
      <c r="R5" s="351">
        <f t="shared" si="1"/>
        <v>18594.63613785601</v>
      </c>
      <c r="S5" s="258">
        <f>'copii BS'!P8+'unica asig'!L7</f>
        <v>19452</v>
      </c>
      <c r="T5" s="363" t="s">
        <v>75</v>
      </c>
      <c r="U5" s="353">
        <f>N5+500</f>
        <v>4100</v>
      </c>
      <c r="V5" s="282">
        <f>U15</f>
        <v>4783.720334400001</v>
      </c>
      <c r="W5" s="14">
        <f>S5*U5/1000</f>
        <v>79753.2</v>
      </c>
      <c r="X5" s="14">
        <f>S5*V5/1000</f>
        <v>93052.92794474882</v>
      </c>
      <c r="Y5" s="351">
        <f t="shared" si="2"/>
        <v>13299.727944748825</v>
      </c>
    </row>
    <row r="6" spans="1:25" ht="19.5" customHeight="1" thickBot="1">
      <c r="A6" s="312" t="s">
        <v>71</v>
      </c>
      <c r="B6" s="289">
        <f>'copii BS'!H9+'unica asig'!F8</f>
        <v>18156</v>
      </c>
      <c r="C6" s="313">
        <v>2600</v>
      </c>
      <c r="D6" s="314">
        <f>'copii BS'!M9+'unica asig'!I8</f>
        <v>18815</v>
      </c>
      <c r="E6" s="315">
        <v>2900</v>
      </c>
      <c r="F6" s="283">
        <f>'copii BS'!N9+'unica asig'!J8</f>
        <v>18484.5</v>
      </c>
      <c r="G6" s="354">
        <f>E6+500</f>
        <v>3400</v>
      </c>
      <c r="H6" s="284">
        <f>G15</f>
        <v>4368.0960000000005</v>
      </c>
      <c r="I6" s="285">
        <f>F6*G6/1000</f>
        <v>62847.3</v>
      </c>
      <c r="J6" s="285">
        <f>F6*H6/1000</f>
        <v>80742.070512</v>
      </c>
      <c r="K6" s="352">
        <f t="shared" si="0"/>
        <v>17894.770512000003</v>
      </c>
      <c r="L6" s="346">
        <f>'copii BS'!O9+'unica asig'!K8</f>
        <v>18484.5</v>
      </c>
      <c r="M6" s="363" t="s">
        <v>75</v>
      </c>
      <c r="N6" s="355">
        <f>G6+500</f>
        <v>3900</v>
      </c>
      <c r="O6" s="284">
        <f>N15</f>
        <v>4555.924128000001</v>
      </c>
      <c r="P6" s="290">
        <f>L6*N6/1000</f>
        <v>72089.55</v>
      </c>
      <c r="Q6" s="285">
        <f>L6*O6/1000</f>
        <v>84213.97954401601</v>
      </c>
      <c r="R6" s="352">
        <f t="shared" si="1"/>
        <v>12124.429544016006</v>
      </c>
      <c r="S6" s="289">
        <f>'copii BS'!P9+'unica asig'!L8</f>
        <v>18484.5</v>
      </c>
      <c r="T6" s="363" t="s">
        <v>75</v>
      </c>
      <c r="U6" s="355">
        <f>N6+500</f>
        <v>4400</v>
      </c>
      <c r="V6" s="284">
        <f>U15</f>
        <v>4783.720334400001</v>
      </c>
      <c r="W6" s="290">
        <f>S6*U6/1000</f>
        <v>81331.8</v>
      </c>
      <c r="X6" s="285">
        <f>S6*V6/1000</f>
        <v>88424.6785212168</v>
      </c>
      <c r="Y6" s="352">
        <f t="shared" si="2"/>
        <v>7092.8785212168</v>
      </c>
    </row>
    <row r="7" spans="1:25" s="9" customFormat="1" ht="19.5" customHeight="1">
      <c r="A7" s="317" t="s">
        <v>19</v>
      </c>
      <c r="B7" s="263">
        <f>SUM(B8:B9)</f>
        <v>76933</v>
      </c>
      <c r="C7" s="286">
        <f>(B8*C8+B9*C9)/B7</f>
        <v>575.7728069878985</v>
      </c>
      <c r="D7" s="263">
        <f>SUM(D8:D9)</f>
        <v>79315</v>
      </c>
      <c r="E7" s="286">
        <f>(D8*E8+D9*E9)/D7</f>
        <v>586.9253924226186</v>
      </c>
      <c r="F7" s="347">
        <f>SUM(F8:F9)</f>
        <v>79928</v>
      </c>
      <c r="G7" s="348">
        <f>(F8*G8+F9*G9)/F7</f>
        <v>694.3426166883528</v>
      </c>
      <c r="H7" s="348">
        <f>(F8*H8+F9*H9)/F7</f>
        <v>909.8151562678129</v>
      </c>
      <c r="I7" s="349">
        <f>SUM(I8:I9)</f>
        <v>665969</v>
      </c>
      <c r="J7" s="349">
        <f>SUM(J8:J9)</f>
        <v>872636.4697220852</v>
      </c>
      <c r="K7" s="350">
        <f t="shared" si="0"/>
        <v>206667.46972208517</v>
      </c>
      <c r="L7" s="263">
        <f>SUM(L8:L9)</f>
        <v>81746</v>
      </c>
      <c r="M7" s="263">
        <f>SUM(M8:M9)</f>
        <v>85623.5138888889</v>
      </c>
      <c r="N7" s="6">
        <f>(L8*N8+L9*N9)/L7</f>
        <v>759.3069793425163</v>
      </c>
      <c r="O7" s="6">
        <f>(M8*O8+M9*O9)/M7</f>
        <v>993.9955825972834</v>
      </c>
      <c r="P7" s="7">
        <f>SUM(P8:P9)</f>
        <v>744843.7000000002</v>
      </c>
      <c r="Q7" s="349">
        <f>SUM(Q8:Q9)</f>
        <v>1021312.7348641525</v>
      </c>
      <c r="R7" s="350">
        <f t="shared" si="1"/>
        <v>276469.0348641523</v>
      </c>
      <c r="S7" s="263">
        <f>SUM(S8:S9)</f>
        <v>83564</v>
      </c>
      <c r="T7" s="263">
        <f>SUM(T8:T9)</f>
        <v>111260.5277777778</v>
      </c>
      <c r="U7" s="6">
        <f>(S8*U8+S9*U9)/S7</f>
        <v>829.5153016450464</v>
      </c>
      <c r="V7" s="6">
        <f>(T8*V8+T9*V9)/T7</f>
        <v>1028.5854937261647</v>
      </c>
      <c r="W7" s="7">
        <f>SUM(W8:W9)</f>
        <v>831811.3999999999</v>
      </c>
      <c r="X7" s="349">
        <f>SUM(X8:X9)</f>
        <v>1373291.5787584707</v>
      </c>
      <c r="Y7" s="350">
        <f t="shared" si="2"/>
        <v>541480.1787584708</v>
      </c>
    </row>
    <row r="8" spans="1:25" ht="19.5" customHeight="1">
      <c r="A8" s="318" t="s">
        <v>72</v>
      </c>
      <c r="B8" s="258">
        <f>'copii BASS'!E8</f>
        <v>37318</v>
      </c>
      <c r="C8" s="287">
        <f>'copii BASS'!T8</f>
        <v>868.52</v>
      </c>
      <c r="D8" s="258">
        <f>'copii BASS'!I8</f>
        <v>38750</v>
      </c>
      <c r="E8" s="287">
        <f>'copii BASS'!U8</f>
        <v>887.29</v>
      </c>
      <c r="F8" s="258">
        <f>'copii BASS'!K8</f>
        <v>40045</v>
      </c>
      <c r="G8" s="13">
        <f>'copii BASS'!AG14</f>
        <v>1087.0899404836225</v>
      </c>
      <c r="H8" s="357">
        <f>'copii BASS'!AG17</f>
        <v>1186.756277324021</v>
      </c>
      <c r="I8" s="14">
        <f>F8*G8*12/1000</f>
        <v>522390.2</v>
      </c>
      <c r="J8" s="14">
        <f>F8*H8*12/1000</f>
        <v>570283.8615052851</v>
      </c>
      <c r="K8" s="356">
        <f t="shared" si="0"/>
        <v>47893.66150528513</v>
      </c>
      <c r="L8" s="258">
        <f>'copii BASS'!L8</f>
        <v>41863</v>
      </c>
      <c r="M8" s="363">
        <f>L8</f>
        <v>41863</v>
      </c>
      <c r="N8" s="13">
        <f>'copii BASS'!AH14</f>
        <v>1196.8900540652448</v>
      </c>
      <c r="O8" s="357">
        <f>'copii BASS'!AH17</f>
        <v>1306.6230603667477</v>
      </c>
      <c r="P8" s="14">
        <f>L8*N8*12/1000</f>
        <v>601264.9000000001</v>
      </c>
      <c r="Q8" s="14">
        <f>M8*O8*12/1000</f>
        <v>656389.934113598</v>
      </c>
      <c r="R8" s="356">
        <f t="shared" si="1"/>
        <v>55125.03411359782</v>
      </c>
      <c r="S8" s="258">
        <f>'copii BASS'!O8</f>
        <v>43681</v>
      </c>
      <c r="T8" s="363">
        <f>S8</f>
        <v>43681</v>
      </c>
      <c r="U8" s="13">
        <f>'copii BASS'!AI14</f>
        <v>1312.9900109124485</v>
      </c>
      <c r="V8" s="357">
        <f>O8*(1+V14)</f>
        <v>1437.2853664034226</v>
      </c>
      <c r="W8" s="14">
        <f>S8*U8*12/1000</f>
        <v>688232.6</v>
      </c>
      <c r="X8" s="14">
        <f>T8*V8*12/1000</f>
        <v>753384.7450784149</v>
      </c>
      <c r="Y8" s="356">
        <f t="shared" si="2"/>
        <v>65152.145078414935</v>
      </c>
    </row>
    <row r="9" spans="1:25" ht="19.5" customHeight="1" thickBot="1">
      <c r="A9" s="318" t="s">
        <v>73</v>
      </c>
      <c r="B9" s="11">
        <f>'copii BS'!H14</f>
        <v>39615</v>
      </c>
      <c r="C9" s="287">
        <v>300</v>
      </c>
      <c r="D9" s="258">
        <f>'copii BS'!M14</f>
        <v>40565</v>
      </c>
      <c r="E9" s="287">
        <v>300</v>
      </c>
      <c r="F9" s="258">
        <f>'copii BS'!N14</f>
        <v>39883</v>
      </c>
      <c r="G9" s="13">
        <v>300</v>
      </c>
      <c r="H9" s="282">
        <f>(F9*tranzitie!V60*E17+F9*tranzitie!V61*E18*$D$18)/F9</f>
        <v>631.7491333333332</v>
      </c>
      <c r="I9" s="14">
        <f>F9*G9*12/1000</f>
        <v>143578.8</v>
      </c>
      <c r="J9" s="14">
        <f>F9*H9*12/1000</f>
        <v>302352.60821679997</v>
      </c>
      <c r="K9" s="356">
        <f t="shared" si="0"/>
        <v>158773.80821679998</v>
      </c>
      <c r="L9" s="258">
        <f>'copii BS'!O14</f>
        <v>39883</v>
      </c>
      <c r="M9" s="363">
        <f>tranzitie!AA57</f>
        <v>43760.513888888905</v>
      </c>
      <c r="N9" s="13">
        <v>300</v>
      </c>
      <c r="O9" s="357">
        <f>H9*(1+O14)</f>
        <v>694.9240466666666</v>
      </c>
      <c r="P9" s="14">
        <f>L9*N9*12/1000</f>
        <v>143578.8</v>
      </c>
      <c r="Q9" s="14">
        <f>M9*O9*12/1000</f>
        <v>364922.80075055454</v>
      </c>
      <c r="R9" s="356">
        <f t="shared" si="1"/>
        <v>221344.00075055455</v>
      </c>
      <c r="S9" s="258">
        <f>'copii BS'!P14</f>
        <v>39883</v>
      </c>
      <c r="T9" s="363">
        <f>tranzitie!AM57</f>
        <v>67579.5277777778</v>
      </c>
      <c r="U9" s="13">
        <v>300</v>
      </c>
      <c r="V9" s="357">
        <f>O9*(1+V14)</f>
        <v>764.4164513333334</v>
      </c>
      <c r="W9" s="14">
        <f>S9*U9*12/1000</f>
        <v>143578.8</v>
      </c>
      <c r="X9" s="14">
        <f>T9*V9*12/1000</f>
        <v>619906.8336800559</v>
      </c>
      <c r="Y9" s="356">
        <f t="shared" si="2"/>
        <v>476328.03368005593</v>
      </c>
    </row>
    <row r="10" spans="1:25" s="9" customFormat="1" ht="19.5" customHeight="1" thickBot="1">
      <c r="A10" s="316" t="s">
        <v>21</v>
      </c>
      <c r="B10" s="291" t="s">
        <v>75</v>
      </c>
      <c r="C10" s="292" t="s">
        <v>75</v>
      </c>
      <c r="D10" s="293" t="s">
        <v>75</v>
      </c>
      <c r="E10" s="292" t="s">
        <v>75</v>
      </c>
      <c r="F10" s="320">
        <f>F7*1%</f>
        <v>799.28</v>
      </c>
      <c r="G10" s="319" t="s">
        <v>75</v>
      </c>
      <c r="H10" s="296">
        <f>H7*50%</f>
        <v>454.90757813390644</v>
      </c>
      <c r="I10" s="297">
        <v>0</v>
      </c>
      <c r="J10" s="297">
        <f>F10*H10*12/1000</f>
        <v>4363.182348610424</v>
      </c>
      <c r="K10" s="298">
        <f t="shared" si="0"/>
        <v>4363.182348610424</v>
      </c>
      <c r="L10" s="320">
        <f>L7*1%</f>
        <v>817.46</v>
      </c>
      <c r="M10" s="364" t="s">
        <v>75</v>
      </c>
      <c r="N10" s="319" t="s">
        <v>75</v>
      </c>
      <c r="O10" s="296">
        <f>O7*50%</f>
        <v>496.9977912986417</v>
      </c>
      <c r="P10" s="297">
        <v>0</v>
      </c>
      <c r="Q10" s="297">
        <f>L10*O10*12/1000</f>
        <v>4875.309773699852</v>
      </c>
      <c r="R10" s="298">
        <f t="shared" si="1"/>
        <v>4875.309773699852</v>
      </c>
      <c r="S10" s="320">
        <f>S7*1%</f>
        <v>835.64</v>
      </c>
      <c r="T10" s="364" t="s">
        <v>75</v>
      </c>
      <c r="U10" s="319" t="s">
        <v>75</v>
      </c>
      <c r="V10" s="296">
        <f>V7*50%</f>
        <v>514.2927468630824</v>
      </c>
      <c r="W10" s="297">
        <v>0</v>
      </c>
      <c r="X10" s="297">
        <f>S10*V10*12/1000</f>
        <v>5157.163091863994</v>
      </c>
      <c r="Y10" s="298">
        <f t="shared" si="2"/>
        <v>5157.163091863994</v>
      </c>
    </row>
    <row r="11" spans="1:25" s="9" customFormat="1" ht="19.5" customHeight="1" thickBot="1">
      <c r="A11" s="29" t="s">
        <v>20</v>
      </c>
      <c r="B11" s="291" t="s">
        <v>75</v>
      </c>
      <c r="C11" s="292" t="s">
        <v>75</v>
      </c>
      <c r="D11" s="293" t="s">
        <v>75</v>
      </c>
      <c r="E11" s="292" t="s">
        <v>75</v>
      </c>
      <c r="F11" s="299">
        <v>35867</v>
      </c>
      <c r="G11" s="295" t="s">
        <v>75</v>
      </c>
      <c r="H11" s="296">
        <f>G16</f>
        <v>2536.6625496</v>
      </c>
      <c r="I11" s="297">
        <v>0</v>
      </c>
      <c r="J11" s="297">
        <f>F11*H11/1000</f>
        <v>90982.4756665032</v>
      </c>
      <c r="K11" s="298">
        <f t="shared" si="0"/>
        <v>90982.4756665032</v>
      </c>
      <c r="L11" s="303">
        <v>35867</v>
      </c>
      <c r="M11" s="358" t="s">
        <v>75</v>
      </c>
      <c r="N11" s="294" t="s">
        <v>75</v>
      </c>
      <c r="O11" s="31">
        <f>N16</f>
        <v>2645.7390392327998</v>
      </c>
      <c r="P11" s="297">
        <v>0</v>
      </c>
      <c r="Q11" s="32">
        <f>L11*O11/1000</f>
        <v>94894.72212016283</v>
      </c>
      <c r="R11" s="33">
        <f t="shared" si="1"/>
        <v>94894.72212016283</v>
      </c>
      <c r="S11" s="303">
        <v>35867</v>
      </c>
      <c r="T11" s="358" t="s">
        <v>75</v>
      </c>
      <c r="U11" s="294" t="s">
        <v>75</v>
      </c>
      <c r="V11" s="31">
        <f>U16</f>
        <v>2778.02599119444</v>
      </c>
      <c r="W11" s="297">
        <v>0</v>
      </c>
      <c r="X11" s="32">
        <f>S11*V11/1000</f>
        <v>99639.45822617097</v>
      </c>
      <c r="Y11" s="33">
        <f t="shared" si="2"/>
        <v>99639.45822617097</v>
      </c>
    </row>
    <row r="12" spans="1:25" s="9" customFormat="1" ht="19.5" customHeight="1" thickBot="1">
      <c r="A12" s="29" t="s">
        <v>26</v>
      </c>
      <c r="B12" s="300">
        <v>3517</v>
      </c>
      <c r="C12" s="30">
        <v>600</v>
      </c>
      <c r="D12" s="301">
        <v>3517</v>
      </c>
      <c r="E12" s="30">
        <v>600</v>
      </c>
      <c r="F12" s="281">
        <f>D12</f>
        <v>3517</v>
      </c>
      <c r="G12" s="31">
        <v>600</v>
      </c>
      <c r="H12" s="6">
        <f>(F12*3/18*E18*$D$18+F12*12/18*E19*$D$19)/(F12*15/18)</f>
        <v>790.54588</v>
      </c>
      <c r="I12" s="32">
        <f>F12*G12*12/1000</f>
        <v>25322.4</v>
      </c>
      <c r="J12" s="32">
        <f>F12*H12*12/1000</f>
        <v>33364.19831952</v>
      </c>
      <c r="K12" s="33">
        <f t="shared" si="0"/>
        <v>8041.7983195199995</v>
      </c>
      <c r="L12" s="281">
        <f>F12</f>
        <v>3517</v>
      </c>
      <c r="M12" s="365" t="s">
        <v>75</v>
      </c>
      <c r="N12" s="31">
        <v>600</v>
      </c>
      <c r="O12" s="357">
        <f>H12*(1+O14)</f>
        <v>869.6004680000001</v>
      </c>
      <c r="P12" s="32">
        <f>L12*N12*12/1000</f>
        <v>25322.4</v>
      </c>
      <c r="Q12" s="32">
        <f>L12*O12*12/1000</f>
        <v>36700.618151472</v>
      </c>
      <c r="R12" s="33">
        <f t="shared" si="1"/>
        <v>11378.218151472</v>
      </c>
      <c r="S12" s="281">
        <f>L12</f>
        <v>3517</v>
      </c>
      <c r="T12" s="365" t="s">
        <v>75</v>
      </c>
      <c r="U12" s="31">
        <v>600</v>
      </c>
      <c r="V12" s="357">
        <f>O12*(1+V14)</f>
        <v>956.5605148000002</v>
      </c>
      <c r="W12" s="32">
        <f>S12*U12*12/1000</f>
        <v>25322.4</v>
      </c>
      <c r="X12" s="32">
        <f>S12*V12*12/1000</f>
        <v>40370.67996661921</v>
      </c>
      <c r="Y12" s="33">
        <f t="shared" si="2"/>
        <v>15048.279966619208</v>
      </c>
    </row>
    <row r="13" spans="1:25" s="9" customFormat="1" ht="19.5" customHeight="1" thickBot="1">
      <c r="A13" s="304" t="s">
        <v>10</v>
      </c>
      <c r="B13" s="305"/>
      <c r="C13" s="306"/>
      <c r="D13" s="307"/>
      <c r="E13" s="306"/>
      <c r="F13" s="308"/>
      <c r="G13" s="309"/>
      <c r="H13" s="309"/>
      <c r="I13" s="310">
        <f>I4+I7+I10+I11+I12</f>
        <v>814439.9</v>
      </c>
      <c r="J13" s="310">
        <f>J4+J7++J10+J11+J12</f>
        <v>1167056.5999607188</v>
      </c>
      <c r="K13" s="311">
        <f t="shared" si="0"/>
        <v>352616.69996071875</v>
      </c>
      <c r="L13" s="308"/>
      <c r="M13" s="359"/>
      <c r="N13" s="309"/>
      <c r="O13" s="309"/>
      <c r="P13" s="310">
        <f>P4+P7+P10+P11+P12</f>
        <v>912282.8500000002</v>
      </c>
      <c r="Q13" s="310">
        <f>Q4+Q7+Q10+Q11+Q12</f>
        <v>1330619.200591359</v>
      </c>
      <c r="R13" s="311">
        <f t="shared" si="1"/>
        <v>418336.35059135885</v>
      </c>
      <c r="S13" s="308"/>
      <c r="T13" s="359"/>
      <c r="U13" s="309"/>
      <c r="V13" s="309"/>
      <c r="W13" s="310">
        <f>W4+W7+W10+W11+W12</f>
        <v>1018218.7999999999</v>
      </c>
      <c r="X13" s="310">
        <f>X4+X7+X10+X11+X12</f>
        <v>1699936.4865090903</v>
      </c>
      <c r="Y13" s="311">
        <f t="shared" si="2"/>
        <v>681717.6865090904</v>
      </c>
    </row>
    <row r="14" spans="1:25" ht="14.25" customHeight="1" thickBot="1">
      <c r="A14" s="259"/>
      <c r="B14" s="260"/>
      <c r="C14" s="261"/>
      <c r="D14" s="280"/>
      <c r="E14" s="261"/>
      <c r="F14" s="260"/>
      <c r="G14" s="262"/>
      <c r="H14" s="262"/>
      <c r="I14" s="262"/>
      <c r="J14" s="262"/>
      <c r="K14" s="261"/>
      <c r="L14" s="260"/>
      <c r="M14" s="360"/>
      <c r="N14" s="262"/>
      <c r="O14" s="369">
        <v>0.1</v>
      </c>
      <c r="P14" s="262"/>
      <c r="Q14" s="262"/>
      <c r="R14" s="261"/>
      <c r="S14" s="260"/>
      <c r="T14" s="360"/>
      <c r="U14" s="262"/>
      <c r="V14" s="369">
        <v>0.1</v>
      </c>
      <c r="W14" s="262"/>
      <c r="X14" s="262"/>
      <c r="Y14" s="261"/>
    </row>
    <row r="15" spans="1:25" ht="19.5" customHeight="1">
      <c r="A15" s="35" t="s">
        <v>22</v>
      </c>
      <c r="B15" s="25"/>
      <c r="C15" s="265">
        <v>4000</v>
      </c>
      <c r="D15" s="275"/>
      <c r="E15" s="335">
        <f>C15*(1+C$20)</f>
        <v>4184</v>
      </c>
      <c r="F15" s="25"/>
      <c r="G15" s="16">
        <f>E15*(1+E$20)</f>
        <v>4368.0960000000005</v>
      </c>
      <c r="H15" s="16"/>
      <c r="I15" s="17"/>
      <c r="J15" s="17"/>
      <c r="K15" s="18"/>
      <c r="L15" s="338"/>
      <c r="M15" s="338"/>
      <c r="N15" s="16">
        <f>G15*(1+G$20)</f>
        <v>4555.924128000001</v>
      </c>
      <c r="O15" s="16"/>
      <c r="P15" s="17"/>
      <c r="Q15" s="17"/>
      <c r="R15" s="18"/>
      <c r="S15" s="25"/>
      <c r="T15" s="338"/>
      <c r="U15" s="16">
        <f>N15*(1+N$20)</f>
        <v>4783.720334400001</v>
      </c>
      <c r="V15" s="16"/>
      <c r="W15" s="17"/>
      <c r="X15" s="17"/>
      <c r="Y15" s="18"/>
    </row>
    <row r="16" spans="1:25" ht="19.5" customHeight="1">
      <c r="A16" s="34" t="s">
        <v>25</v>
      </c>
      <c r="B16" s="26"/>
      <c r="C16" s="302">
        <f>(215.3+8+19.3+15.5)*9</f>
        <v>2322.9</v>
      </c>
      <c r="D16" s="276"/>
      <c r="E16" s="336">
        <f>C16*(1+C$20)</f>
        <v>2429.7534</v>
      </c>
      <c r="F16" s="26"/>
      <c r="G16" s="19">
        <f>E16*(1+E$20)</f>
        <v>2536.6625496</v>
      </c>
      <c r="H16" s="19"/>
      <c r="I16" s="20"/>
      <c r="J16" s="20"/>
      <c r="K16" s="21"/>
      <c r="L16" s="339"/>
      <c r="M16" s="339"/>
      <c r="N16" s="19">
        <f>G16*(1+G$20)</f>
        <v>2645.7390392327998</v>
      </c>
      <c r="O16" s="19"/>
      <c r="P16" s="20"/>
      <c r="Q16" s="20"/>
      <c r="R16" s="21"/>
      <c r="S16" s="26"/>
      <c r="T16" s="339"/>
      <c r="U16" s="19">
        <f>N16*(1+N$20)</f>
        <v>2778.02599119444</v>
      </c>
      <c r="V16" s="19"/>
      <c r="W16" s="20"/>
      <c r="X16" s="20"/>
      <c r="Y16" s="21"/>
    </row>
    <row r="17" spans="1:25" ht="19.5" customHeight="1">
      <c r="A17" s="34" t="s">
        <v>23</v>
      </c>
      <c r="B17" s="26"/>
      <c r="C17" s="27">
        <v>591.9</v>
      </c>
      <c r="D17" s="276"/>
      <c r="E17" s="336">
        <f>C17*(1+C$20)</f>
        <v>619.1274</v>
      </c>
      <c r="F17" s="26"/>
      <c r="G17" s="19">
        <f>E17*(1+E$20)</f>
        <v>646.3690056</v>
      </c>
      <c r="H17" s="19"/>
      <c r="I17" s="20"/>
      <c r="J17" s="20"/>
      <c r="K17" s="21"/>
      <c r="L17" s="339"/>
      <c r="M17" s="339"/>
      <c r="N17" s="19">
        <f>G17*(1+G$20)</f>
        <v>674.1628728408</v>
      </c>
      <c r="O17" s="19"/>
      <c r="P17" s="20"/>
      <c r="Q17" s="20"/>
      <c r="R17" s="21"/>
      <c r="S17" s="26"/>
      <c r="T17" s="339"/>
      <c r="U17" s="19">
        <f>N17*(1+N$20)</f>
        <v>707.87101648284</v>
      </c>
      <c r="V17" s="19"/>
      <c r="W17" s="20"/>
      <c r="X17" s="20"/>
      <c r="Y17" s="21"/>
    </row>
    <row r="18" spans="1:25" ht="19.5" customHeight="1">
      <c r="A18" s="34" t="s">
        <v>24</v>
      </c>
      <c r="B18" s="28"/>
      <c r="C18" s="27">
        <v>1256.2</v>
      </c>
      <c r="D18" s="333">
        <v>0.5</v>
      </c>
      <c r="E18" s="336">
        <f>C18*(1+C$20)</f>
        <v>1313.9852</v>
      </c>
      <c r="F18" s="26"/>
      <c r="G18" s="19">
        <f>E18*(1+E$20)</f>
        <v>1371.8005488000001</v>
      </c>
      <c r="H18" s="342"/>
      <c r="I18" s="20"/>
      <c r="J18" s="20"/>
      <c r="K18" s="21"/>
      <c r="L18" s="340"/>
      <c r="M18" s="340"/>
      <c r="N18" s="19">
        <f>G18*(1+G$20)</f>
        <v>1430.7879723984</v>
      </c>
      <c r="O18" s="22"/>
      <c r="P18" s="23"/>
      <c r="Q18" s="23"/>
      <c r="R18" s="24"/>
      <c r="S18" s="28"/>
      <c r="T18" s="340"/>
      <c r="U18" s="19">
        <f>N18*(1+N$20)</f>
        <v>1502.32737101832</v>
      </c>
      <c r="V18" s="22"/>
      <c r="W18" s="23"/>
      <c r="X18" s="23"/>
      <c r="Y18" s="24"/>
    </row>
    <row r="19" spans="1:25" ht="19.5" customHeight="1" thickBot="1">
      <c r="A19" s="34" t="s">
        <v>74</v>
      </c>
      <c r="B19" s="270"/>
      <c r="C19" s="271">
        <v>1575.4</v>
      </c>
      <c r="D19" s="334">
        <v>0.5</v>
      </c>
      <c r="E19" s="337">
        <f>C19*(1+C$20)</f>
        <v>1647.8684</v>
      </c>
      <c r="F19" s="270"/>
      <c r="G19" s="272">
        <f>E19*(1+E$20)</f>
        <v>1720.3746096000002</v>
      </c>
      <c r="H19" s="343"/>
      <c r="I19" s="273"/>
      <c r="J19" s="273"/>
      <c r="K19" s="274"/>
      <c r="L19" s="341"/>
      <c r="M19" s="341"/>
      <c r="N19" s="272">
        <f>G19*(1+G$20)</f>
        <v>1794.3507178128</v>
      </c>
      <c r="O19" s="272"/>
      <c r="P19" s="273"/>
      <c r="Q19" s="273"/>
      <c r="R19" s="274"/>
      <c r="S19" s="270"/>
      <c r="T19" s="341"/>
      <c r="U19" s="272">
        <f>N19*(1+N$20)</f>
        <v>1884.0682537034402</v>
      </c>
      <c r="V19" s="272"/>
      <c r="W19" s="273"/>
      <c r="X19" s="273"/>
      <c r="Y19" s="274"/>
    </row>
    <row r="20" spans="1:25" ht="19.5" customHeight="1" thickBot="1">
      <c r="A20" s="36" t="s">
        <v>16</v>
      </c>
      <c r="B20" s="266"/>
      <c r="C20" s="267">
        <v>0.046</v>
      </c>
      <c r="D20" s="277"/>
      <c r="E20" s="267">
        <v>0.044</v>
      </c>
      <c r="F20" s="266"/>
      <c r="G20" s="264">
        <v>0.043</v>
      </c>
      <c r="H20" s="264"/>
      <c r="I20" s="268"/>
      <c r="J20" s="268"/>
      <c r="K20" s="269"/>
      <c r="L20" s="266"/>
      <c r="M20" s="361"/>
      <c r="N20" s="264">
        <v>0.05</v>
      </c>
      <c r="O20" s="264"/>
      <c r="P20" s="268"/>
      <c r="Q20" s="268"/>
      <c r="R20" s="269"/>
      <c r="S20" s="266"/>
      <c r="T20" s="361"/>
      <c r="U20" s="264">
        <v>0.05</v>
      </c>
      <c r="V20" s="264"/>
      <c r="W20" s="268"/>
      <c r="X20" s="268"/>
      <c r="Y20" s="269"/>
    </row>
    <row r="22" spans="15:22" ht="15.75">
      <c r="O22" s="371">
        <f>O8/H8-1</f>
        <v>0.10100370677036596</v>
      </c>
      <c r="V22" s="370">
        <f>V8/O8-1</f>
        <v>0.10000000000000009</v>
      </c>
    </row>
    <row r="23" spans="15:22" ht="15.75">
      <c r="O23" s="370">
        <f>O9/H9-1</f>
        <v>0.10000000000000009</v>
      </c>
      <c r="V23" s="370">
        <f>V9/O9-1</f>
        <v>0.10000000000000009</v>
      </c>
    </row>
    <row r="24" spans="15:22" ht="15.75">
      <c r="O24" s="370">
        <f>O12/H12-1</f>
        <v>0.10000000000000009</v>
      </c>
      <c r="V24" s="370">
        <f>V12/O12-1</f>
        <v>0.10000000000000009</v>
      </c>
    </row>
  </sheetData>
  <sheetProtection/>
  <mergeCells count="22">
    <mergeCell ref="A1:A3"/>
    <mergeCell ref="B1:C1"/>
    <mergeCell ref="D1:E1"/>
    <mergeCell ref="F1:K1"/>
    <mergeCell ref="L1:R1"/>
    <mergeCell ref="S1:Y1"/>
    <mergeCell ref="B2:B3"/>
    <mergeCell ref="C2:C3"/>
    <mergeCell ref="D2:D3"/>
    <mergeCell ref="E2:E3"/>
    <mergeCell ref="F2:F3"/>
    <mergeCell ref="G2:H2"/>
    <mergeCell ref="I2:J2"/>
    <mergeCell ref="K2:K3"/>
    <mergeCell ref="L2:M2"/>
    <mergeCell ref="N2:O2"/>
    <mergeCell ref="P2:Q2"/>
    <mergeCell ref="R2:R3"/>
    <mergeCell ref="S2:T2"/>
    <mergeCell ref="U2:V2"/>
    <mergeCell ref="W2:X2"/>
    <mergeCell ref="Y2:Y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1"/>
  <sheetViews>
    <sheetView tabSelected="1" zoomScale="95" zoomScaleNormal="95" zoomScalePageLayoutView="0" workbookViewId="0" topLeftCell="A1">
      <pane xSplit="1" ySplit="3" topLeftCell="S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140625" defaultRowHeight="15"/>
  <cols>
    <col min="1" max="1" width="77.57421875" style="3" bestFit="1" customWidth="1"/>
    <col min="2" max="2" width="7.57421875" style="3" bestFit="1" customWidth="1"/>
    <col min="3" max="3" width="12.8515625" style="15" bestFit="1" customWidth="1"/>
    <col min="4" max="4" width="9.57421875" style="15" bestFit="1" customWidth="1"/>
    <col min="5" max="5" width="13.140625" style="15" bestFit="1" customWidth="1"/>
    <col min="6" max="6" width="7.57421875" style="3" bestFit="1" customWidth="1"/>
    <col min="7" max="7" width="13.28125" style="15" bestFit="1" customWidth="1"/>
    <col min="8" max="8" width="13.28125" style="15" customWidth="1"/>
    <col min="9" max="9" width="18.140625" style="15" bestFit="1" customWidth="1"/>
    <col min="10" max="10" width="20.28125" style="15" bestFit="1" customWidth="1"/>
    <col min="11" max="11" width="21.57421875" style="15" customWidth="1"/>
    <col min="12" max="12" width="7.421875" style="3" bestFit="1" customWidth="1"/>
    <col min="13" max="13" width="7.421875" style="3" customWidth="1"/>
    <col min="14" max="14" width="13.28125" style="15" bestFit="1" customWidth="1"/>
    <col min="15" max="15" width="12.8515625" style="15" customWidth="1"/>
    <col min="16" max="16" width="18.140625" style="15" bestFit="1" customWidth="1"/>
    <col min="17" max="17" width="20.28125" style="15" bestFit="1" customWidth="1"/>
    <col min="18" max="18" width="21.140625" style="15" bestFit="1" customWidth="1"/>
    <col min="19" max="19" width="7.421875" style="3" bestFit="1" customWidth="1"/>
    <col min="20" max="20" width="8.28125" style="3" bestFit="1" customWidth="1"/>
    <col min="21" max="21" width="13.28125" style="15" bestFit="1" customWidth="1"/>
    <col min="22" max="22" width="12.8515625" style="15" customWidth="1"/>
    <col min="23" max="24" width="20.28125" style="15" bestFit="1" customWidth="1"/>
    <col min="25" max="25" width="21.140625" style="15" bestFit="1" customWidth="1"/>
    <col min="26" max="16384" width="9.140625" style="3" customWidth="1"/>
  </cols>
  <sheetData>
    <row r="1" spans="1:25" ht="16.5" customHeight="1" thickBot="1">
      <c r="A1" s="380"/>
      <c r="B1" s="383">
        <v>2012</v>
      </c>
      <c r="C1" s="384"/>
      <c r="D1" s="383">
        <v>2013</v>
      </c>
      <c r="E1" s="384"/>
      <c r="F1" s="383">
        <v>2014</v>
      </c>
      <c r="G1" s="385"/>
      <c r="H1" s="385"/>
      <c r="I1" s="385"/>
      <c r="J1" s="385"/>
      <c r="K1" s="384"/>
      <c r="L1" s="386">
        <v>2015</v>
      </c>
      <c r="M1" s="387"/>
      <c r="N1" s="388"/>
      <c r="O1" s="388"/>
      <c r="P1" s="388"/>
      <c r="Q1" s="388"/>
      <c r="R1" s="389"/>
      <c r="S1" s="386">
        <v>2016</v>
      </c>
      <c r="T1" s="387"/>
      <c r="U1" s="388"/>
      <c r="V1" s="388"/>
      <c r="W1" s="388"/>
      <c r="X1" s="388"/>
      <c r="Y1" s="389"/>
    </row>
    <row r="2" spans="1:25" ht="16.5" customHeight="1">
      <c r="A2" s="381"/>
      <c r="B2" s="390" t="s">
        <v>0</v>
      </c>
      <c r="C2" s="392" t="s">
        <v>1</v>
      </c>
      <c r="D2" s="390" t="s">
        <v>0</v>
      </c>
      <c r="E2" s="392" t="s">
        <v>1</v>
      </c>
      <c r="F2" s="378" t="s">
        <v>0</v>
      </c>
      <c r="G2" s="373" t="s">
        <v>1</v>
      </c>
      <c r="H2" s="373"/>
      <c r="I2" s="373" t="s">
        <v>14</v>
      </c>
      <c r="J2" s="373"/>
      <c r="K2" s="374" t="s">
        <v>15</v>
      </c>
      <c r="L2" s="376" t="s">
        <v>0</v>
      </c>
      <c r="M2" s="377"/>
      <c r="N2" s="373" t="s">
        <v>1</v>
      </c>
      <c r="O2" s="373"/>
      <c r="P2" s="373" t="s">
        <v>14</v>
      </c>
      <c r="Q2" s="373"/>
      <c r="R2" s="374" t="s">
        <v>15</v>
      </c>
      <c r="S2" s="376" t="s">
        <v>0</v>
      </c>
      <c r="T2" s="377"/>
      <c r="U2" s="373" t="s">
        <v>1</v>
      </c>
      <c r="V2" s="373"/>
      <c r="W2" s="373" t="s">
        <v>14</v>
      </c>
      <c r="X2" s="373"/>
      <c r="Y2" s="374" t="s">
        <v>15</v>
      </c>
    </row>
    <row r="3" spans="1:25" ht="16.5" customHeight="1" thickBot="1">
      <c r="A3" s="382"/>
      <c r="B3" s="391"/>
      <c r="C3" s="393"/>
      <c r="D3" s="391"/>
      <c r="E3" s="393"/>
      <c r="F3" s="379"/>
      <c r="G3" s="288" t="s">
        <v>13</v>
      </c>
      <c r="H3" s="288" t="s">
        <v>17</v>
      </c>
      <c r="I3" s="288" t="s">
        <v>13</v>
      </c>
      <c r="J3" s="288" t="s">
        <v>17</v>
      </c>
      <c r="K3" s="375"/>
      <c r="L3" s="288" t="s">
        <v>13</v>
      </c>
      <c r="M3" s="288" t="s">
        <v>17</v>
      </c>
      <c r="N3" s="288" t="s">
        <v>13</v>
      </c>
      <c r="O3" s="288" t="s">
        <v>17</v>
      </c>
      <c r="P3" s="288" t="s">
        <v>13</v>
      </c>
      <c r="Q3" s="288" t="s">
        <v>17</v>
      </c>
      <c r="R3" s="375"/>
      <c r="S3" s="288" t="s">
        <v>13</v>
      </c>
      <c r="T3" s="288" t="s">
        <v>17</v>
      </c>
      <c r="U3" s="288" t="s">
        <v>13</v>
      </c>
      <c r="V3" s="288" t="s">
        <v>17</v>
      </c>
      <c r="W3" s="288" t="s">
        <v>13</v>
      </c>
      <c r="X3" s="288" t="s">
        <v>17</v>
      </c>
      <c r="Y3" s="375"/>
    </row>
    <row r="4" spans="1:25" s="9" customFormat="1" ht="19.5" customHeight="1">
      <c r="A4" s="4" t="s">
        <v>18</v>
      </c>
      <c r="B4" s="263">
        <f>SUM(B5:B6)</f>
        <v>36669</v>
      </c>
      <c r="C4" s="5">
        <f>(B5*C5+B6*C6)/B4</f>
        <v>2448.539638386648</v>
      </c>
      <c r="D4" s="278">
        <f>SUM(D5:D6)</f>
        <v>39895</v>
      </c>
      <c r="E4" s="286">
        <f>(D5*E5+D6*E6)/D4</f>
        <v>2741.4838952249656</v>
      </c>
      <c r="F4" s="263">
        <f>SUM(F5:F6)</f>
        <v>37936.5</v>
      </c>
      <c r="G4" s="6">
        <f>(F5*G5+F6*G6)/F4</f>
        <v>3246.174528488395</v>
      </c>
      <c r="H4" s="6">
        <f>(F5*H5+F6*H6)/F4</f>
        <v>4368.0960000000005</v>
      </c>
      <c r="I4" s="7">
        <f>SUM(I5:I6)</f>
        <v>123148.5</v>
      </c>
      <c r="J4" s="7">
        <f>SUM(J5:J6)</f>
        <v>165710.273904</v>
      </c>
      <c r="K4" s="8">
        <f aca="true" t="shared" si="0" ref="K4:K13">J4-I4</f>
        <v>42561.773904</v>
      </c>
      <c r="L4" s="344">
        <f>SUM(L5:L6)</f>
        <v>37936.5</v>
      </c>
      <c r="M4" s="362" t="s">
        <v>75</v>
      </c>
      <c r="N4" s="6">
        <f>(L5*N5+L6*N6)/L4</f>
        <v>3746.174528488395</v>
      </c>
      <c r="O4" s="6">
        <f>(L5*O5+L6*O6)/L4</f>
        <v>4555.924128000001</v>
      </c>
      <c r="P4" s="7">
        <f>SUM(P5:P6)</f>
        <v>142116.75</v>
      </c>
      <c r="Q4" s="7">
        <f>SUM(Q5:Q6)</f>
        <v>172835.81568187202</v>
      </c>
      <c r="R4" s="8">
        <f aca="true" t="shared" si="1" ref="R4:R13">Q4-P4</f>
        <v>30719.065681872016</v>
      </c>
      <c r="S4" s="263">
        <f>SUM(S5:S6)</f>
        <v>37936.5</v>
      </c>
      <c r="T4" s="362" t="s">
        <v>75</v>
      </c>
      <c r="U4" s="6">
        <f>(S5*U5+S6*U6)/S4</f>
        <v>4246.1745284883955</v>
      </c>
      <c r="V4" s="6">
        <f>(S5*V5+S6*V6)/S4</f>
        <v>4783.720334400001</v>
      </c>
      <c r="W4" s="7">
        <f>SUM(W5:W6)</f>
        <v>161085</v>
      </c>
      <c r="X4" s="7">
        <f>SUM(X5:X6)</f>
        <v>181477.60646596563</v>
      </c>
      <c r="Y4" s="8">
        <f aca="true" t="shared" si="2" ref="Y4:Y13">X4-W4</f>
        <v>20392.606465965626</v>
      </c>
    </row>
    <row r="5" spans="1:25" ht="19.5" customHeight="1">
      <c r="A5" s="10" t="s">
        <v>70</v>
      </c>
      <c r="B5" s="258">
        <f>'copii BS'!H8+'unica asig'!F7</f>
        <v>18513</v>
      </c>
      <c r="C5" s="12">
        <v>2300</v>
      </c>
      <c r="D5" s="279">
        <f>'copii BS'!M8+'unica asig'!I7</f>
        <v>21080</v>
      </c>
      <c r="E5" s="287">
        <v>2600</v>
      </c>
      <c r="F5" s="258">
        <f>'copii BS'!N8+'unica asig'!J7</f>
        <v>19452</v>
      </c>
      <c r="G5" s="353">
        <f>E5+500</f>
        <v>3100</v>
      </c>
      <c r="H5" s="282">
        <f>G15</f>
        <v>4368.0960000000005</v>
      </c>
      <c r="I5" s="14">
        <f>F5*G5/1000</f>
        <v>60301.2</v>
      </c>
      <c r="J5" s="14">
        <f>F5*H5/1000</f>
        <v>84968.20339200001</v>
      </c>
      <c r="K5" s="351">
        <f t="shared" si="0"/>
        <v>24667.003392000013</v>
      </c>
      <c r="L5" s="345">
        <f>'copii BS'!O8+'unica asig'!K7</f>
        <v>19452</v>
      </c>
      <c r="M5" s="363" t="s">
        <v>75</v>
      </c>
      <c r="N5" s="353">
        <f>G5+500</f>
        <v>3600</v>
      </c>
      <c r="O5" s="282">
        <f>N15</f>
        <v>4555.924128000001</v>
      </c>
      <c r="P5" s="14">
        <f>L5*N5/1000</f>
        <v>70027.2</v>
      </c>
      <c r="Q5" s="14">
        <f>L5*O5/1000</f>
        <v>88621.83613785601</v>
      </c>
      <c r="R5" s="351">
        <f t="shared" si="1"/>
        <v>18594.63613785601</v>
      </c>
      <c r="S5" s="258">
        <f>'copii BS'!P8+'unica asig'!L7</f>
        <v>19452</v>
      </c>
      <c r="T5" s="363" t="s">
        <v>75</v>
      </c>
      <c r="U5" s="353">
        <f>N5+500</f>
        <v>4100</v>
      </c>
      <c r="V5" s="282">
        <f>U15</f>
        <v>4783.720334400001</v>
      </c>
      <c r="W5" s="14">
        <f>S5*U5/1000</f>
        <v>79753.2</v>
      </c>
      <c r="X5" s="14">
        <f>S5*V5/1000</f>
        <v>93052.92794474882</v>
      </c>
      <c r="Y5" s="351">
        <f t="shared" si="2"/>
        <v>13299.727944748825</v>
      </c>
    </row>
    <row r="6" spans="1:25" ht="19.5" customHeight="1" thickBot="1">
      <c r="A6" s="312" t="s">
        <v>71</v>
      </c>
      <c r="B6" s="289">
        <f>'copii BS'!H9+'unica asig'!F8</f>
        <v>18156</v>
      </c>
      <c r="C6" s="313">
        <v>2600</v>
      </c>
      <c r="D6" s="314">
        <f>'copii BS'!M9+'unica asig'!I8</f>
        <v>18815</v>
      </c>
      <c r="E6" s="315">
        <v>2900</v>
      </c>
      <c r="F6" s="283">
        <f>'copii BS'!N9+'unica asig'!J8</f>
        <v>18484.5</v>
      </c>
      <c r="G6" s="354">
        <f>E6+500</f>
        <v>3400</v>
      </c>
      <c r="H6" s="284">
        <f>G15</f>
        <v>4368.0960000000005</v>
      </c>
      <c r="I6" s="285">
        <f>F6*G6/1000</f>
        <v>62847.3</v>
      </c>
      <c r="J6" s="285">
        <f>F6*H6/1000</f>
        <v>80742.070512</v>
      </c>
      <c r="K6" s="352">
        <f t="shared" si="0"/>
        <v>17894.770512000003</v>
      </c>
      <c r="L6" s="346">
        <f>'copii BS'!O9+'unica asig'!K8</f>
        <v>18484.5</v>
      </c>
      <c r="M6" s="363" t="s">
        <v>75</v>
      </c>
      <c r="N6" s="355">
        <f>G6+500</f>
        <v>3900</v>
      </c>
      <c r="O6" s="284">
        <f>N15</f>
        <v>4555.924128000001</v>
      </c>
      <c r="P6" s="290">
        <f>L6*N6/1000</f>
        <v>72089.55</v>
      </c>
      <c r="Q6" s="285">
        <f>L6*O6/1000</f>
        <v>84213.97954401601</v>
      </c>
      <c r="R6" s="352">
        <f t="shared" si="1"/>
        <v>12124.429544016006</v>
      </c>
      <c r="S6" s="289">
        <f>'copii BS'!P9+'unica asig'!L8</f>
        <v>18484.5</v>
      </c>
      <c r="T6" s="363" t="s">
        <v>75</v>
      </c>
      <c r="U6" s="355">
        <f>N6+500</f>
        <v>4400</v>
      </c>
      <c r="V6" s="284">
        <f>U15</f>
        <v>4783.720334400001</v>
      </c>
      <c r="W6" s="290">
        <f>S6*U6/1000</f>
        <v>81331.8</v>
      </c>
      <c r="X6" s="285">
        <f>S6*V6/1000</f>
        <v>88424.6785212168</v>
      </c>
      <c r="Y6" s="352">
        <f t="shared" si="2"/>
        <v>7092.8785212168</v>
      </c>
    </row>
    <row r="7" spans="1:25" s="9" customFormat="1" ht="19.5" customHeight="1">
      <c r="A7" s="317" t="s">
        <v>19</v>
      </c>
      <c r="B7" s="263">
        <f>SUM(B8:B9)</f>
        <v>76933</v>
      </c>
      <c r="C7" s="286">
        <f>(B8*C8+B9*C9)/B7</f>
        <v>575.7728069878985</v>
      </c>
      <c r="D7" s="263">
        <f>SUM(D8:D9)</f>
        <v>79315</v>
      </c>
      <c r="E7" s="286">
        <f>(D8*E8+D9*E9)/D7</f>
        <v>586.9253924226186</v>
      </c>
      <c r="F7" s="347">
        <f>SUM(F8:F9)</f>
        <v>79928</v>
      </c>
      <c r="G7" s="348">
        <f>(F8*G8+F9*G9)/F7</f>
        <v>694.3426166883528</v>
      </c>
      <c r="H7" s="348">
        <f>(F8*H8+F9*H9)/F7</f>
        <v>909.8151562678129</v>
      </c>
      <c r="I7" s="349">
        <f>SUM(I8:I9)</f>
        <v>665969</v>
      </c>
      <c r="J7" s="349">
        <f>SUM(J8:J9)</f>
        <v>872636.4697220852</v>
      </c>
      <c r="K7" s="350">
        <f t="shared" si="0"/>
        <v>206667.46972208517</v>
      </c>
      <c r="L7" s="263">
        <f>SUM(L8:L9)</f>
        <v>81746</v>
      </c>
      <c r="M7" s="263">
        <f>SUM(M8:M9)</f>
        <v>85623.5138888889</v>
      </c>
      <c r="N7" s="6">
        <f>(L8*N8+L9*N9)/L7</f>
        <v>759.3069793425163</v>
      </c>
      <c r="O7" s="6">
        <f>(M8*O8+M9*O9)/M7</f>
        <v>977.1080644966407</v>
      </c>
      <c r="P7" s="7">
        <f>SUM(P8:P9)</f>
        <v>744843.7000000002</v>
      </c>
      <c r="Q7" s="349">
        <f>SUM(Q8:Q9)</f>
        <v>1003961.1111764817</v>
      </c>
      <c r="R7" s="350">
        <f t="shared" si="1"/>
        <v>259117.41117648152</v>
      </c>
      <c r="S7" s="263">
        <f>SUM(S8:S9)</f>
        <v>83564</v>
      </c>
      <c r="T7" s="263">
        <f>SUM(T8:T9)</f>
        <v>111260.5277777778</v>
      </c>
      <c r="U7" s="6">
        <f>(S8*U8+S9*U9)/S7</f>
        <v>829.5153016450464</v>
      </c>
      <c r="V7" s="6">
        <f>(T8*V8+T9*V9)/T7</f>
        <v>987.4177773447956</v>
      </c>
      <c r="W7" s="7">
        <f>SUM(W8:W9)</f>
        <v>831811.3999999999</v>
      </c>
      <c r="X7" s="349">
        <f>SUM(X8:X9)</f>
        <v>1318327.476534507</v>
      </c>
      <c r="Y7" s="350">
        <f t="shared" si="2"/>
        <v>486516.0765345071</v>
      </c>
    </row>
    <row r="8" spans="1:25" ht="19.5" customHeight="1">
      <c r="A8" s="318" t="s">
        <v>72</v>
      </c>
      <c r="B8" s="258">
        <f>'copii BASS'!E8</f>
        <v>37318</v>
      </c>
      <c r="C8" s="287">
        <f>'copii BASS'!T8</f>
        <v>868.52</v>
      </c>
      <c r="D8" s="258">
        <f>'copii BASS'!I8</f>
        <v>38750</v>
      </c>
      <c r="E8" s="287">
        <f>'copii BASS'!U8</f>
        <v>887.29</v>
      </c>
      <c r="F8" s="258">
        <f>'copii BASS'!K8</f>
        <v>40045</v>
      </c>
      <c r="G8" s="13">
        <f>'copii BASS'!AG14</f>
        <v>1087.0899404836225</v>
      </c>
      <c r="H8" s="357">
        <f>'copii BASS'!AG17</f>
        <v>1186.756277324021</v>
      </c>
      <c r="I8" s="14">
        <f>F8*G8*12/1000</f>
        <v>522390.2</v>
      </c>
      <c r="J8" s="14">
        <f>F8*H8*12/1000</f>
        <v>570283.8615052851</v>
      </c>
      <c r="K8" s="356">
        <f t="shared" si="0"/>
        <v>47893.66150528513</v>
      </c>
      <c r="L8" s="258">
        <f>'copii BASS'!L8</f>
        <v>41863</v>
      </c>
      <c r="M8" s="363">
        <f>L8</f>
        <v>41863</v>
      </c>
      <c r="N8" s="13">
        <f>'copii BASS'!AH14</f>
        <v>1196.8900540652448</v>
      </c>
      <c r="O8" s="357">
        <f>'copii BASS'!AH17</f>
        <v>1306.6230603667477</v>
      </c>
      <c r="P8" s="14">
        <f>L8*N8*12/1000</f>
        <v>601264.9000000001</v>
      </c>
      <c r="Q8" s="14">
        <f>M8*O8*12/1000</f>
        <v>656389.934113598</v>
      </c>
      <c r="R8" s="356">
        <f t="shared" si="1"/>
        <v>55125.03411359782</v>
      </c>
      <c r="S8" s="258">
        <f>'copii BASS'!O8</f>
        <v>43681</v>
      </c>
      <c r="T8" s="363">
        <f>S8</f>
        <v>43681</v>
      </c>
      <c r="U8" s="13">
        <f>'copii BASS'!AI14</f>
        <v>1312.9900109124485</v>
      </c>
      <c r="V8" s="357">
        <f>'copii BASS'!AI17</f>
        <v>1433.3672674966292</v>
      </c>
      <c r="W8" s="14">
        <f>S8*U8*12/1000</f>
        <v>688232.6</v>
      </c>
      <c r="X8" s="14">
        <f>T8*V8*12/1000</f>
        <v>751330.9873382432</v>
      </c>
      <c r="Y8" s="356">
        <f t="shared" si="2"/>
        <v>63098.38733824319</v>
      </c>
    </row>
    <row r="9" spans="1:25" ht="19.5" customHeight="1" thickBot="1">
      <c r="A9" s="318" t="s">
        <v>73</v>
      </c>
      <c r="B9" s="11">
        <f>'copii BS'!H14</f>
        <v>39615</v>
      </c>
      <c r="C9" s="287">
        <v>300</v>
      </c>
      <c r="D9" s="258">
        <f>'copii BS'!M14</f>
        <v>40565</v>
      </c>
      <c r="E9" s="287">
        <v>300</v>
      </c>
      <c r="F9" s="258">
        <f>'copii BS'!N14</f>
        <v>39883</v>
      </c>
      <c r="G9" s="13">
        <v>300</v>
      </c>
      <c r="H9" s="282">
        <f>(F9*tranzitie!V60*E17+F9*tranzitie!V61*E18*$D$18)/F9</f>
        <v>631.7491333333332</v>
      </c>
      <c r="I9" s="14">
        <f>F9*G9*12/1000</f>
        <v>143578.8</v>
      </c>
      <c r="J9" s="14">
        <f>F9*H9*12/1000</f>
        <v>302352.60821679997</v>
      </c>
      <c r="K9" s="356">
        <f t="shared" si="0"/>
        <v>158773.80821679998</v>
      </c>
      <c r="L9" s="258">
        <f>'copii BS'!O14</f>
        <v>39883</v>
      </c>
      <c r="M9" s="363">
        <f>tranzitie!AA57</f>
        <v>43760.513888888905</v>
      </c>
      <c r="N9" s="13">
        <v>300</v>
      </c>
      <c r="O9" s="282">
        <f>(M9*tranzitie!AB60*G17+M9*tranzitie!AB61*G18*$D$18)/M9</f>
        <v>661.8812756354431</v>
      </c>
      <c r="P9" s="14">
        <f>L9*N9*12/1000</f>
        <v>143578.8</v>
      </c>
      <c r="Q9" s="14">
        <f>M9*O9*12/1000</f>
        <v>347571.17706288374</v>
      </c>
      <c r="R9" s="356">
        <f t="shared" si="1"/>
        <v>203992.37706288375</v>
      </c>
      <c r="S9" s="258">
        <f>'copii BS'!P14</f>
        <v>39883</v>
      </c>
      <c r="T9" s="363">
        <f>tranzitie!AM57</f>
        <v>67579.5277777778</v>
      </c>
      <c r="U9" s="13">
        <v>300</v>
      </c>
      <c r="V9" s="282">
        <f>(T9*tranzitie!AN60*N17+T9*tranzitie!AN61*N18*$D$18)/T9</f>
        <v>699.1719088122885</v>
      </c>
      <c r="W9" s="14">
        <f>S9*U9*12/1000</f>
        <v>143578.8</v>
      </c>
      <c r="X9" s="14">
        <f>T9*V9*12/1000</f>
        <v>566996.4891962638</v>
      </c>
      <c r="Y9" s="356">
        <f t="shared" si="2"/>
        <v>423417.68919626385</v>
      </c>
    </row>
    <row r="10" spans="1:25" s="9" customFormat="1" ht="19.5" customHeight="1" thickBot="1">
      <c r="A10" s="316" t="s">
        <v>21</v>
      </c>
      <c r="B10" s="291" t="s">
        <v>75</v>
      </c>
      <c r="C10" s="292" t="s">
        <v>75</v>
      </c>
      <c r="D10" s="293" t="s">
        <v>75</v>
      </c>
      <c r="E10" s="292" t="s">
        <v>75</v>
      </c>
      <c r="F10" s="320">
        <f>F7*1%</f>
        <v>799.28</v>
      </c>
      <c r="G10" s="319" t="s">
        <v>75</v>
      </c>
      <c r="H10" s="296">
        <f>H7*50%</f>
        <v>454.90757813390644</v>
      </c>
      <c r="I10" s="297">
        <v>0</v>
      </c>
      <c r="J10" s="297">
        <f>F10*H10*12/1000</f>
        <v>4363.182348610424</v>
      </c>
      <c r="K10" s="298">
        <f t="shared" si="0"/>
        <v>4363.182348610424</v>
      </c>
      <c r="L10" s="320">
        <f>L7*1%</f>
        <v>817.46</v>
      </c>
      <c r="M10" s="364" t="s">
        <v>75</v>
      </c>
      <c r="N10" s="319" t="s">
        <v>75</v>
      </c>
      <c r="O10" s="296">
        <f>O7*50%</f>
        <v>488.55403224832037</v>
      </c>
      <c r="P10" s="297">
        <v>0</v>
      </c>
      <c r="Q10" s="297">
        <f>L10*O10*12/1000</f>
        <v>4792.480550420543</v>
      </c>
      <c r="R10" s="298">
        <f t="shared" si="1"/>
        <v>4792.480550420543</v>
      </c>
      <c r="S10" s="320">
        <f>S7*1%</f>
        <v>835.64</v>
      </c>
      <c r="T10" s="364" t="s">
        <v>75</v>
      </c>
      <c r="U10" s="319" t="s">
        <v>75</v>
      </c>
      <c r="V10" s="296">
        <f>V7*50%</f>
        <v>493.7088886723978</v>
      </c>
      <c r="W10" s="297">
        <v>0</v>
      </c>
      <c r="X10" s="297">
        <f>S10*V10*12/1000</f>
        <v>4950.75474876243</v>
      </c>
      <c r="Y10" s="298">
        <f t="shared" si="2"/>
        <v>4950.75474876243</v>
      </c>
    </row>
    <row r="11" spans="1:25" s="9" customFormat="1" ht="19.5" customHeight="1" thickBot="1">
      <c r="A11" s="29" t="s">
        <v>20</v>
      </c>
      <c r="B11" s="291" t="s">
        <v>75</v>
      </c>
      <c r="C11" s="292" t="s">
        <v>75</v>
      </c>
      <c r="D11" s="293" t="s">
        <v>75</v>
      </c>
      <c r="E11" s="292" t="s">
        <v>75</v>
      </c>
      <c r="F11" s="299">
        <v>35867</v>
      </c>
      <c r="G11" s="295" t="s">
        <v>75</v>
      </c>
      <c r="H11" s="296">
        <f>G16</f>
        <v>2536.6625496</v>
      </c>
      <c r="I11" s="297">
        <v>0</v>
      </c>
      <c r="J11" s="297">
        <f>F11*H11/1000</f>
        <v>90982.4756665032</v>
      </c>
      <c r="K11" s="298">
        <f t="shared" si="0"/>
        <v>90982.4756665032</v>
      </c>
      <c r="L11" s="303">
        <v>35867</v>
      </c>
      <c r="M11" s="358" t="s">
        <v>75</v>
      </c>
      <c r="N11" s="294" t="s">
        <v>75</v>
      </c>
      <c r="O11" s="31">
        <f>N16</f>
        <v>2645.7390392327998</v>
      </c>
      <c r="P11" s="297">
        <v>0</v>
      </c>
      <c r="Q11" s="32">
        <f>L11*O11/1000</f>
        <v>94894.72212016283</v>
      </c>
      <c r="R11" s="33">
        <f t="shared" si="1"/>
        <v>94894.72212016283</v>
      </c>
      <c r="S11" s="303">
        <v>35867</v>
      </c>
      <c r="T11" s="358" t="s">
        <v>75</v>
      </c>
      <c r="U11" s="294" t="s">
        <v>75</v>
      </c>
      <c r="V11" s="31">
        <f>U16</f>
        <v>2778.02599119444</v>
      </c>
      <c r="W11" s="297">
        <v>0</v>
      </c>
      <c r="X11" s="32">
        <f>S11*V11/1000</f>
        <v>99639.45822617097</v>
      </c>
      <c r="Y11" s="33">
        <f t="shared" si="2"/>
        <v>99639.45822617097</v>
      </c>
    </row>
    <row r="12" spans="1:25" s="9" customFormat="1" ht="19.5" customHeight="1" thickBot="1">
      <c r="A12" s="29" t="s">
        <v>26</v>
      </c>
      <c r="B12" s="300">
        <v>3517</v>
      </c>
      <c r="C12" s="30">
        <v>600</v>
      </c>
      <c r="D12" s="301">
        <v>3517</v>
      </c>
      <c r="E12" s="30">
        <v>600</v>
      </c>
      <c r="F12" s="281">
        <f>D12</f>
        <v>3517</v>
      </c>
      <c r="G12" s="31">
        <v>600</v>
      </c>
      <c r="H12" s="6">
        <f>(F12*3/18*E18*$D$18+F12*12/18*E19*$D$19)/(F12*15/18)</f>
        <v>790.54588</v>
      </c>
      <c r="I12" s="32">
        <f>F12*G12*12/1000</f>
        <v>25322.4</v>
      </c>
      <c r="J12" s="32">
        <f>F12*H12*12/1000</f>
        <v>33364.19831952</v>
      </c>
      <c r="K12" s="33">
        <f t="shared" si="0"/>
        <v>8041.7983195199995</v>
      </c>
      <c r="L12" s="281">
        <f>F12</f>
        <v>3517</v>
      </c>
      <c r="M12" s="365" t="s">
        <v>75</v>
      </c>
      <c r="N12" s="31">
        <v>600</v>
      </c>
      <c r="O12" s="6">
        <f>(L12*3/18*G18*$D$18+L12*12/18*G19*$D$19)/(L12*15/18)</f>
        <v>825.3298987200001</v>
      </c>
      <c r="P12" s="32">
        <f>L12*N12*12/1000</f>
        <v>25322.4</v>
      </c>
      <c r="Q12" s="32">
        <f>L12*O12*12/1000</f>
        <v>34832.22304557888</v>
      </c>
      <c r="R12" s="33">
        <f t="shared" si="1"/>
        <v>9509.82304557888</v>
      </c>
      <c r="S12" s="281">
        <f>L12</f>
        <v>3517</v>
      </c>
      <c r="T12" s="365" t="s">
        <v>75</v>
      </c>
      <c r="U12" s="31">
        <v>600</v>
      </c>
      <c r="V12" s="6">
        <f>(S12*3/18*N18*$D$18+S12*12/18*N19*$D$19)/(S12*15/18)</f>
        <v>860.8190843649598</v>
      </c>
      <c r="W12" s="32">
        <f>S12*U12*12/1000</f>
        <v>25322.4</v>
      </c>
      <c r="X12" s="32">
        <f>S12*V12*12/1000</f>
        <v>36330.00863653877</v>
      </c>
      <c r="Y12" s="33">
        <f t="shared" si="2"/>
        <v>11007.608636538767</v>
      </c>
    </row>
    <row r="13" spans="1:25" s="9" customFormat="1" ht="19.5" customHeight="1" thickBot="1">
      <c r="A13" s="304" t="s">
        <v>10</v>
      </c>
      <c r="B13" s="305"/>
      <c r="C13" s="306"/>
      <c r="D13" s="307"/>
      <c r="E13" s="306"/>
      <c r="F13" s="308"/>
      <c r="G13" s="309"/>
      <c r="H13" s="309"/>
      <c r="I13" s="310">
        <f>I4+I7+I10+I11+I12</f>
        <v>814439.9</v>
      </c>
      <c r="J13" s="310">
        <f>J4+J7++J10+J11+J12</f>
        <v>1167056.5999607188</v>
      </c>
      <c r="K13" s="311">
        <f t="shared" si="0"/>
        <v>352616.69996071875</v>
      </c>
      <c r="L13" s="308"/>
      <c r="M13" s="359"/>
      <c r="N13" s="309"/>
      <c r="O13" s="309"/>
      <c r="P13" s="310">
        <f>P4+P7+P10+P11+P12</f>
        <v>912282.8500000002</v>
      </c>
      <c r="Q13" s="310">
        <f>Q4+Q7+Q10+Q11+Q12</f>
        <v>1311316.3525745159</v>
      </c>
      <c r="R13" s="311">
        <f t="shared" si="1"/>
        <v>399033.50257451565</v>
      </c>
      <c r="S13" s="308"/>
      <c r="T13" s="359"/>
      <c r="U13" s="309"/>
      <c r="V13" s="309"/>
      <c r="W13" s="310">
        <f>W4+W7+W10+W11+W12</f>
        <v>1018218.7999999999</v>
      </c>
      <c r="X13" s="310">
        <f>X4+X7+X10+X11+X12</f>
        <v>1640725.304611945</v>
      </c>
      <c r="Y13" s="311">
        <f t="shared" si="2"/>
        <v>622506.5046119451</v>
      </c>
    </row>
    <row r="14" spans="1:25" ht="14.25" customHeight="1" thickBot="1">
      <c r="A14" s="259"/>
      <c r="B14" s="260"/>
      <c r="C14" s="261"/>
      <c r="D14" s="280"/>
      <c r="E14" s="261"/>
      <c r="F14" s="260"/>
      <c r="G14" s="262"/>
      <c r="H14" s="262"/>
      <c r="I14" s="262"/>
      <c r="J14" s="262"/>
      <c r="K14" s="261"/>
      <c r="L14" s="260"/>
      <c r="M14" s="360"/>
      <c r="N14" s="262"/>
      <c r="O14" s="262"/>
      <c r="P14" s="262"/>
      <c r="Q14" s="262"/>
      <c r="R14" s="261"/>
      <c r="S14" s="260"/>
      <c r="T14" s="360"/>
      <c r="U14" s="262"/>
      <c r="V14" s="262"/>
      <c r="W14" s="262"/>
      <c r="X14" s="262"/>
      <c r="Y14" s="261"/>
    </row>
    <row r="15" spans="1:25" ht="19.5" customHeight="1">
      <c r="A15" s="35" t="s">
        <v>22</v>
      </c>
      <c r="B15" s="25"/>
      <c r="C15" s="265">
        <v>4000</v>
      </c>
      <c r="D15" s="275"/>
      <c r="E15" s="335">
        <f>C15*(1+C$20)</f>
        <v>4184</v>
      </c>
      <c r="F15" s="25"/>
      <c r="G15" s="16">
        <f>E15*(1+E$20)</f>
        <v>4368.0960000000005</v>
      </c>
      <c r="H15" s="16"/>
      <c r="I15" s="17"/>
      <c r="J15" s="17"/>
      <c r="K15" s="18"/>
      <c r="L15" s="338"/>
      <c r="M15" s="338"/>
      <c r="N15" s="16">
        <f>G15*(1+G$20)</f>
        <v>4555.924128000001</v>
      </c>
      <c r="O15" s="16"/>
      <c r="P15" s="17"/>
      <c r="Q15" s="17"/>
      <c r="R15" s="18"/>
      <c r="S15" s="25"/>
      <c r="T15" s="338"/>
      <c r="U15" s="16">
        <f>N15*(1+N$20)</f>
        <v>4783.720334400001</v>
      </c>
      <c r="V15" s="16"/>
      <c r="W15" s="17"/>
      <c r="X15" s="17"/>
      <c r="Y15" s="18"/>
    </row>
    <row r="16" spans="1:25" ht="19.5" customHeight="1">
      <c r="A16" s="34" t="s">
        <v>25</v>
      </c>
      <c r="B16" s="26"/>
      <c r="C16" s="302">
        <f>(215.3+8+19.3+15.5)*9</f>
        <v>2322.9</v>
      </c>
      <c r="D16" s="276"/>
      <c r="E16" s="336">
        <f>C16*(1+C$20)</f>
        <v>2429.7534</v>
      </c>
      <c r="F16" s="26"/>
      <c r="G16" s="19">
        <f>E16*(1+E$20)</f>
        <v>2536.6625496</v>
      </c>
      <c r="H16" s="19"/>
      <c r="I16" s="20"/>
      <c r="J16" s="20"/>
      <c r="K16" s="21"/>
      <c r="L16" s="339"/>
      <c r="M16" s="339"/>
      <c r="N16" s="19">
        <f>G16*(1+G$20)</f>
        <v>2645.7390392327998</v>
      </c>
      <c r="O16" s="19"/>
      <c r="P16" s="20"/>
      <c r="Q16" s="20"/>
      <c r="R16" s="21"/>
      <c r="S16" s="26"/>
      <c r="T16" s="339"/>
      <c r="U16" s="19">
        <f>N16*(1+N$20)</f>
        <v>2778.02599119444</v>
      </c>
      <c r="V16" s="19"/>
      <c r="W16" s="20"/>
      <c r="X16" s="20"/>
      <c r="Y16" s="21"/>
    </row>
    <row r="17" spans="1:25" ht="19.5" customHeight="1">
      <c r="A17" s="34" t="s">
        <v>23</v>
      </c>
      <c r="B17" s="26"/>
      <c r="C17" s="27">
        <v>591.9</v>
      </c>
      <c r="D17" s="276"/>
      <c r="E17" s="336">
        <f>C17*(1+C$20)</f>
        <v>619.1274</v>
      </c>
      <c r="F17" s="26"/>
      <c r="G17" s="19">
        <f>E17*(1+E$20)</f>
        <v>646.3690056</v>
      </c>
      <c r="H17" s="19"/>
      <c r="I17" s="20"/>
      <c r="J17" s="20"/>
      <c r="K17" s="21"/>
      <c r="L17" s="339"/>
      <c r="M17" s="339"/>
      <c r="N17" s="19">
        <f>G17*(1+G$20)</f>
        <v>674.1628728408</v>
      </c>
      <c r="O17" s="19"/>
      <c r="P17" s="20"/>
      <c r="Q17" s="20"/>
      <c r="R17" s="21"/>
      <c r="S17" s="26"/>
      <c r="T17" s="339"/>
      <c r="U17" s="19">
        <f>N17*(1+N$20)</f>
        <v>707.87101648284</v>
      </c>
      <c r="V17" s="19"/>
      <c r="W17" s="20"/>
      <c r="X17" s="20"/>
      <c r="Y17" s="21"/>
    </row>
    <row r="18" spans="1:25" ht="19.5" customHeight="1">
      <c r="A18" s="34" t="s">
        <v>24</v>
      </c>
      <c r="B18" s="28"/>
      <c r="C18" s="27">
        <v>1256.2</v>
      </c>
      <c r="D18" s="333">
        <v>0.5</v>
      </c>
      <c r="E18" s="336">
        <f>C18*(1+C$20)</f>
        <v>1313.9852</v>
      </c>
      <c r="F18" s="26"/>
      <c r="G18" s="19">
        <f>E18*(1+E$20)</f>
        <v>1371.8005488000001</v>
      </c>
      <c r="H18" s="342"/>
      <c r="I18" s="20"/>
      <c r="J18" s="20"/>
      <c r="K18" s="21"/>
      <c r="L18" s="340"/>
      <c r="M18" s="340"/>
      <c r="N18" s="19">
        <f>G18*(1+G$20)</f>
        <v>1430.7879723984</v>
      </c>
      <c r="O18" s="22"/>
      <c r="P18" s="23"/>
      <c r="Q18" s="23"/>
      <c r="R18" s="24"/>
      <c r="S18" s="28"/>
      <c r="T18" s="340"/>
      <c r="U18" s="19">
        <f>N18*(1+N$20)</f>
        <v>1502.32737101832</v>
      </c>
      <c r="V18" s="22"/>
      <c r="W18" s="23"/>
      <c r="X18" s="23"/>
      <c r="Y18" s="24"/>
    </row>
    <row r="19" spans="1:25" ht="19.5" customHeight="1" thickBot="1">
      <c r="A19" s="34" t="s">
        <v>74</v>
      </c>
      <c r="B19" s="270"/>
      <c r="C19" s="271">
        <v>1575.4</v>
      </c>
      <c r="D19" s="334">
        <v>0.5</v>
      </c>
      <c r="E19" s="337">
        <f>C19*(1+C$20)</f>
        <v>1647.8684</v>
      </c>
      <c r="F19" s="270"/>
      <c r="G19" s="272">
        <f>E19*(1+E$20)</f>
        <v>1720.3746096000002</v>
      </c>
      <c r="H19" s="343"/>
      <c r="I19" s="273"/>
      <c r="J19" s="273"/>
      <c r="K19" s="274"/>
      <c r="L19" s="341"/>
      <c r="M19" s="341"/>
      <c r="N19" s="272">
        <f>G19*(1+G$20)</f>
        <v>1794.3507178128</v>
      </c>
      <c r="O19" s="272"/>
      <c r="P19" s="273"/>
      <c r="Q19" s="273"/>
      <c r="R19" s="274"/>
      <c r="S19" s="270"/>
      <c r="T19" s="341"/>
      <c r="U19" s="272">
        <f>N19*(1+N$20)</f>
        <v>1884.0682537034402</v>
      </c>
      <c r="V19" s="272"/>
      <c r="W19" s="273"/>
      <c r="X19" s="273"/>
      <c r="Y19" s="274"/>
    </row>
    <row r="20" spans="1:25" ht="19.5" customHeight="1" thickBot="1">
      <c r="A20" s="36" t="s">
        <v>16</v>
      </c>
      <c r="B20" s="266"/>
      <c r="C20" s="267">
        <v>0.046</v>
      </c>
      <c r="D20" s="277"/>
      <c r="E20" s="267">
        <v>0.044</v>
      </c>
      <c r="F20" s="266"/>
      <c r="G20" s="264">
        <v>0.043</v>
      </c>
      <c r="H20" s="264"/>
      <c r="I20" s="268"/>
      <c r="J20" s="268"/>
      <c r="K20" s="269"/>
      <c r="L20" s="266"/>
      <c r="M20" s="361"/>
      <c r="N20" s="264">
        <v>0.05</v>
      </c>
      <c r="O20" s="264"/>
      <c r="P20" s="268"/>
      <c r="Q20" s="268"/>
      <c r="R20" s="269"/>
      <c r="S20" s="266"/>
      <c r="T20" s="361"/>
      <c r="U20" s="264">
        <v>0.05</v>
      </c>
      <c r="V20" s="264"/>
      <c r="W20" s="268"/>
      <c r="X20" s="268"/>
      <c r="Y20" s="269"/>
    </row>
    <row r="21" ht="15.75">
      <c r="H21" s="372">
        <f>(F9*E17*2/3+F9/3*E18*D18)/F9</f>
        <v>631.7491333333332</v>
      </c>
    </row>
  </sheetData>
  <sheetProtection/>
  <mergeCells count="22">
    <mergeCell ref="P2:Q2"/>
    <mergeCell ref="R2:R3"/>
    <mergeCell ref="U2:V2"/>
    <mergeCell ref="W2:X2"/>
    <mergeCell ref="Y2:Y3"/>
    <mergeCell ref="S2:T2"/>
    <mergeCell ref="F2:F3"/>
    <mergeCell ref="G2:H2"/>
    <mergeCell ref="I2:J2"/>
    <mergeCell ref="K2:K3"/>
    <mergeCell ref="N2:O2"/>
    <mergeCell ref="L2:M2"/>
    <mergeCell ref="A1:A3"/>
    <mergeCell ref="B1:C1"/>
    <mergeCell ref="D1:E1"/>
    <mergeCell ref="F1:K1"/>
    <mergeCell ref="L1:R1"/>
    <mergeCell ref="S1:Y1"/>
    <mergeCell ref="B2:B3"/>
    <mergeCell ref="C2:C3"/>
    <mergeCell ref="D2:D3"/>
    <mergeCell ref="E2:E3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61"/>
  <sheetViews>
    <sheetView zoomScalePageLayoutView="0" workbookViewId="0" topLeftCell="Z49">
      <selection activeCell="AZ61" sqref="AZ61"/>
    </sheetView>
  </sheetViews>
  <sheetFormatPr defaultColWidth="9.140625" defaultRowHeight="15"/>
  <cols>
    <col min="1" max="1" width="14.140625" style="0" bestFit="1" customWidth="1"/>
    <col min="2" max="2" width="6.00390625" style="0" bestFit="1" customWidth="1"/>
    <col min="3" max="4" width="8.57421875" style="0" bestFit="1" customWidth="1"/>
    <col min="5" max="5" width="7.28125" style="0" bestFit="1" customWidth="1"/>
  </cols>
  <sheetData>
    <row r="1" spans="1:86" ht="15">
      <c r="A1" s="322">
        <f>'[1]copii BS'!N14</f>
        <v>39883</v>
      </c>
      <c r="B1" s="322">
        <f>A1/12</f>
        <v>3323.5833333333335</v>
      </c>
      <c r="C1" s="323">
        <f>A1*12*C2/1000</f>
        <v>143578.8</v>
      </c>
      <c r="D1" s="324">
        <v>41640</v>
      </c>
      <c r="E1" s="324">
        <v>41671</v>
      </c>
      <c r="F1" s="324">
        <v>41699</v>
      </c>
      <c r="G1" s="324">
        <v>41730</v>
      </c>
      <c r="H1" s="324">
        <v>41760</v>
      </c>
      <c r="I1" s="324">
        <v>41791</v>
      </c>
      <c r="J1" s="324">
        <v>41821</v>
      </c>
      <c r="K1" s="324">
        <v>41852</v>
      </c>
      <c r="L1" s="324">
        <v>41883</v>
      </c>
      <c r="M1" s="324">
        <v>41913</v>
      </c>
      <c r="N1" s="324">
        <v>41944</v>
      </c>
      <c r="O1" s="324">
        <v>41974</v>
      </c>
      <c r="P1" s="324">
        <v>42005</v>
      </c>
      <c r="Q1" s="324">
        <v>42036</v>
      </c>
      <c r="R1" s="324">
        <v>42064</v>
      </c>
      <c r="S1" s="324">
        <v>42095</v>
      </c>
      <c r="T1" s="324">
        <v>42125</v>
      </c>
      <c r="U1" s="324">
        <v>42156</v>
      </c>
      <c r="V1" s="324">
        <v>42186</v>
      </c>
      <c r="W1" s="324">
        <v>42217</v>
      </c>
      <c r="X1" s="324">
        <v>42248</v>
      </c>
      <c r="Y1" s="324">
        <v>42278</v>
      </c>
      <c r="Z1" s="324">
        <v>42309</v>
      </c>
      <c r="AA1" s="324">
        <v>42339</v>
      </c>
      <c r="AB1" s="324">
        <v>42370</v>
      </c>
      <c r="AC1" s="324">
        <v>42401</v>
      </c>
      <c r="AD1" s="324">
        <v>42430</v>
      </c>
      <c r="AE1" s="324">
        <v>42461</v>
      </c>
      <c r="AF1" s="324">
        <v>42491</v>
      </c>
      <c r="AG1" s="324">
        <v>42522</v>
      </c>
      <c r="AH1" s="324">
        <v>42552</v>
      </c>
      <c r="AI1" s="324">
        <v>42583</v>
      </c>
      <c r="AJ1" s="324">
        <v>42614</v>
      </c>
      <c r="AK1" s="324">
        <v>42644</v>
      </c>
      <c r="AL1" s="324">
        <v>42675</v>
      </c>
      <c r="AM1" s="324">
        <v>42705</v>
      </c>
      <c r="AN1" s="324">
        <v>42736</v>
      </c>
      <c r="AO1" s="324">
        <v>42767</v>
      </c>
      <c r="AP1" s="324">
        <v>42795</v>
      </c>
      <c r="AQ1" s="324">
        <v>42826</v>
      </c>
      <c r="AR1" s="324">
        <v>42856</v>
      </c>
      <c r="AS1" s="324">
        <v>42887</v>
      </c>
      <c r="AT1" s="324">
        <v>42917</v>
      </c>
      <c r="AU1" s="324">
        <v>42948</v>
      </c>
      <c r="AV1" s="324">
        <v>42979</v>
      </c>
      <c r="AW1" s="324">
        <v>43009</v>
      </c>
      <c r="AX1" s="324">
        <v>43040</v>
      </c>
      <c r="AY1" s="324">
        <v>43070</v>
      </c>
      <c r="AZ1" s="324">
        <v>43101</v>
      </c>
      <c r="BA1" s="324">
        <v>43132</v>
      </c>
      <c r="BB1" s="324">
        <v>43160</v>
      </c>
      <c r="BC1" s="324">
        <v>43191</v>
      </c>
      <c r="BD1" s="324">
        <v>43221</v>
      </c>
      <c r="BE1" s="324">
        <v>43252</v>
      </c>
      <c r="BF1" s="324">
        <v>43282</v>
      </c>
      <c r="BG1" s="324">
        <v>43313</v>
      </c>
      <c r="BH1" s="324">
        <v>43344</v>
      </c>
      <c r="BI1" s="324">
        <v>43374</v>
      </c>
      <c r="BJ1" s="324">
        <v>43405</v>
      </c>
      <c r="BK1" s="324">
        <v>43435</v>
      </c>
      <c r="BL1" s="324">
        <v>43466</v>
      </c>
      <c r="BM1" s="324">
        <v>43497</v>
      </c>
      <c r="BN1" s="324">
        <v>43525</v>
      </c>
      <c r="BO1" s="324">
        <v>43556</v>
      </c>
      <c r="BP1" s="324">
        <v>43586</v>
      </c>
      <c r="BQ1" s="324">
        <v>43617</v>
      </c>
      <c r="BR1" s="325"/>
      <c r="BS1" s="325"/>
      <c r="BT1" s="325"/>
      <c r="BU1" s="325"/>
      <c r="BV1" s="325"/>
      <c r="BW1" s="325"/>
      <c r="BX1" s="325"/>
      <c r="BY1" s="325"/>
      <c r="BZ1" s="325"/>
      <c r="CA1" s="325"/>
      <c r="CB1" s="325"/>
      <c r="CC1" s="325"/>
      <c r="CD1" s="325"/>
      <c r="CE1" s="325"/>
      <c r="CF1" s="325"/>
      <c r="CG1" s="325"/>
      <c r="CH1" s="325"/>
    </row>
    <row r="2" spans="1:86" ht="15">
      <c r="A2" s="326">
        <v>41640</v>
      </c>
      <c r="B2" s="322">
        <f aca="true" t="shared" si="0" ref="B2:B49">$B$1</f>
        <v>3323.5833333333335</v>
      </c>
      <c r="C2" s="325">
        <v>300</v>
      </c>
      <c r="D2" s="323">
        <f aca="true" t="shared" si="1" ref="D2:S17">$B$1*$C$2/1000</f>
        <v>997.075</v>
      </c>
      <c r="E2" s="323">
        <f t="shared" si="1"/>
        <v>997.075</v>
      </c>
      <c r="F2" s="323">
        <f t="shared" si="1"/>
        <v>997.075</v>
      </c>
      <c r="G2" s="323">
        <f t="shared" si="1"/>
        <v>997.075</v>
      </c>
      <c r="H2" s="323">
        <f t="shared" si="1"/>
        <v>997.075</v>
      </c>
      <c r="I2" s="323">
        <f t="shared" si="1"/>
        <v>997.075</v>
      </c>
      <c r="J2" s="323">
        <f t="shared" si="1"/>
        <v>997.075</v>
      </c>
      <c r="K2" s="323">
        <f t="shared" si="1"/>
        <v>997.075</v>
      </c>
      <c r="L2" s="323">
        <f t="shared" si="1"/>
        <v>997.075</v>
      </c>
      <c r="M2" s="323">
        <f t="shared" si="1"/>
        <v>997.075</v>
      </c>
      <c r="N2" s="323">
        <f t="shared" si="1"/>
        <v>997.075</v>
      </c>
      <c r="O2" s="323">
        <f t="shared" si="1"/>
        <v>997.075</v>
      </c>
      <c r="P2" s="323">
        <f t="shared" si="1"/>
        <v>997.075</v>
      </c>
      <c r="Q2" s="323">
        <f t="shared" si="1"/>
        <v>997.075</v>
      </c>
      <c r="R2" s="323">
        <f t="shared" si="1"/>
        <v>997.075</v>
      </c>
      <c r="S2" s="323">
        <f t="shared" si="1"/>
        <v>997.075</v>
      </c>
      <c r="T2" s="323">
        <f aca="true" t="shared" si="2" ref="T2:AI17">$B$1*$C$2/1000</f>
        <v>997.075</v>
      </c>
      <c r="U2" s="323">
        <f>$B$1*$C$2/1000</f>
        <v>997.075</v>
      </c>
      <c r="V2" s="327">
        <f t="shared" si="2"/>
        <v>997.075</v>
      </c>
      <c r="W2" s="327">
        <f t="shared" si="2"/>
        <v>997.075</v>
      </c>
      <c r="X2" s="327">
        <f t="shared" si="2"/>
        <v>997.075</v>
      </c>
      <c r="Y2" s="327">
        <f t="shared" si="2"/>
        <v>997.075</v>
      </c>
      <c r="Z2" s="327">
        <f t="shared" si="2"/>
        <v>997.075</v>
      </c>
      <c r="AA2" s="327">
        <f t="shared" si="2"/>
        <v>997.075</v>
      </c>
      <c r="AB2" s="327">
        <f t="shared" si="2"/>
        <v>997.075</v>
      </c>
      <c r="AC2" s="327">
        <f t="shared" si="2"/>
        <v>997.075</v>
      </c>
      <c r="AD2" s="327">
        <f t="shared" si="2"/>
        <v>997.075</v>
      </c>
      <c r="AE2" s="327">
        <f t="shared" si="2"/>
        <v>997.075</v>
      </c>
      <c r="AF2" s="327">
        <f t="shared" si="2"/>
        <v>997.075</v>
      </c>
      <c r="AG2" s="327">
        <f t="shared" si="2"/>
        <v>997.075</v>
      </c>
      <c r="AH2" s="327">
        <f t="shared" si="2"/>
        <v>997.075</v>
      </c>
      <c r="AI2" s="327">
        <f t="shared" si="2"/>
        <v>997.075</v>
      </c>
      <c r="AJ2" s="327">
        <f aca="true" t="shared" si="3" ref="AH2:AW17">$B$1*$C$2/1000</f>
        <v>997.075</v>
      </c>
      <c r="AK2" s="327">
        <f t="shared" si="3"/>
        <v>997.075</v>
      </c>
      <c r="AL2" s="327">
        <f t="shared" si="3"/>
        <v>997.075</v>
      </c>
      <c r="AM2" s="327">
        <f t="shared" si="3"/>
        <v>997.075</v>
      </c>
      <c r="AN2" s="325"/>
      <c r="AO2" s="325"/>
      <c r="AP2" s="325"/>
      <c r="AQ2" s="325"/>
      <c r="AR2" s="325"/>
      <c r="AS2" s="325"/>
      <c r="AT2" s="325"/>
      <c r="AU2" s="325"/>
      <c r="AV2" s="325"/>
      <c r="AW2" s="325"/>
      <c r="AX2" s="325"/>
      <c r="AY2" s="325"/>
      <c r="AZ2" s="325"/>
      <c r="BA2" s="325"/>
      <c r="BB2" s="325"/>
      <c r="BC2" s="325"/>
      <c r="BD2" s="325"/>
      <c r="BE2" s="325"/>
      <c r="BF2" s="325"/>
      <c r="BG2" s="325"/>
      <c r="BH2" s="325"/>
      <c r="BI2" s="325"/>
      <c r="BJ2" s="325"/>
      <c r="BK2" s="325"/>
      <c r="BL2" s="325"/>
      <c r="BM2" s="325"/>
      <c r="BN2" s="325"/>
      <c r="BO2" s="325"/>
      <c r="BP2" s="325"/>
      <c r="BQ2" s="325"/>
      <c r="BR2" s="325"/>
      <c r="BS2" s="325"/>
      <c r="BT2" s="325"/>
      <c r="BU2" s="325"/>
      <c r="BV2" s="325"/>
      <c r="BW2" s="325"/>
      <c r="BX2" s="325"/>
      <c r="BY2" s="325"/>
      <c r="BZ2" s="325"/>
      <c r="CA2" s="325"/>
      <c r="CB2" s="325"/>
      <c r="CC2" s="325"/>
      <c r="CD2" s="325"/>
      <c r="CE2" s="325"/>
      <c r="CF2" s="325"/>
      <c r="CG2" s="325"/>
      <c r="CH2" s="325"/>
    </row>
    <row r="3" spans="1:86" ht="15">
      <c r="A3" s="326">
        <v>41671</v>
      </c>
      <c r="B3" s="322">
        <f t="shared" si="0"/>
        <v>3323.5833333333335</v>
      </c>
      <c r="C3" s="325">
        <v>300</v>
      </c>
      <c r="D3" s="328">
        <f t="shared" si="1"/>
        <v>997.075</v>
      </c>
      <c r="E3" s="323">
        <f t="shared" si="1"/>
        <v>997.075</v>
      </c>
      <c r="F3" s="323">
        <f t="shared" si="1"/>
        <v>997.075</v>
      </c>
      <c r="G3" s="323">
        <f t="shared" si="1"/>
        <v>997.075</v>
      </c>
      <c r="H3" s="323">
        <f t="shared" si="1"/>
        <v>997.075</v>
      </c>
      <c r="I3" s="323">
        <f t="shared" si="1"/>
        <v>997.075</v>
      </c>
      <c r="J3" s="323">
        <f t="shared" si="1"/>
        <v>997.075</v>
      </c>
      <c r="K3" s="323">
        <f t="shared" si="1"/>
        <v>997.075</v>
      </c>
      <c r="L3" s="323">
        <f t="shared" si="1"/>
        <v>997.075</v>
      </c>
      <c r="M3" s="323">
        <f t="shared" si="1"/>
        <v>997.075</v>
      </c>
      <c r="N3" s="323">
        <f t="shared" si="1"/>
        <v>997.075</v>
      </c>
      <c r="O3" s="323">
        <f t="shared" si="1"/>
        <v>997.075</v>
      </c>
      <c r="P3" s="323">
        <f t="shared" si="1"/>
        <v>997.075</v>
      </c>
      <c r="Q3" s="323">
        <f t="shared" si="1"/>
        <v>997.075</v>
      </c>
      <c r="R3" s="323">
        <f t="shared" si="1"/>
        <v>997.075</v>
      </c>
      <c r="S3" s="323">
        <f t="shared" si="1"/>
        <v>997.075</v>
      </c>
      <c r="T3" s="323">
        <f t="shared" si="2"/>
        <v>997.075</v>
      </c>
      <c r="U3" s="323">
        <f t="shared" si="2"/>
        <v>997.075</v>
      </c>
      <c r="V3" s="323">
        <f t="shared" si="2"/>
        <v>997.075</v>
      </c>
      <c r="W3" s="327">
        <f t="shared" si="2"/>
        <v>997.075</v>
      </c>
      <c r="X3" s="327">
        <f t="shared" si="2"/>
        <v>997.075</v>
      </c>
      <c r="Y3" s="327">
        <f t="shared" si="2"/>
        <v>997.075</v>
      </c>
      <c r="Z3" s="327">
        <f t="shared" si="2"/>
        <v>997.075</v>
      </c>
      <c r="AA3" s="327">
        <f t="shared" si="2"/>
        <v>997.075</v>
      </c>
      <c r="AB3" s="327">
        <f t="shared" si="2"/>
        <v>997.075</v>
      </c>
      <c r="AC3" s="327">
        <f t="shared" si="2"/>
        <v>997.075</v>
      </c>
      <c r="AD3" s="327">
        <f t="shared" si="2"/>
        <v>997.075</v>
      </c>
      <c r="AE3" s="327">
        <f t="shared" si="2"/>
        <v>997.075</v>
      </c>
      <c r="AF3" s="327">
        <f t="shared" si="2"/>
        <v>997.075</v>
      </c>
      <c r="AG3" s="327">
        <f t="shared" si="2"/>
        <v>997.075</v>
      </c>
      <c r="AH3" s="327">
        <f t="shared" si="3"/>
        <v>997.075</v>
      </c>
      <c r="AI3" s="327">
        <f t="shared" si="3"/>
        <v>997.075</v>
      </c>
      <c r="AJ3" s="327">
        <f t="shared" si="3"/>
        <v>997.075</v>
      </c>
      <c r="AK3" s="327">
        <f t="shared" si="3"/>
        <v>997.075</v>
      </c>
      <c r="AL3" s="327">
        <f t="shared" si="3"/>
        <v>997.075</v>
      </c>
      <c r="AM3" s="327">
        <f t="shared" si="3"/>
        <v>997.075</v>
      </c>
      <c r="AN3" s="327">
        <f t="shared" si="3"/>
        <v>997.075</v>
      </c>
      <c r="AO3" s="325"/>
      <c r="AP3" s="325"/>
      <c r="AQ3" s="325"/>
      <c r="AR3" s="325"/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25"/>
      <c r="BJ3" s="325"/>
      <c r="BK3" s="325"/>
      <c r="BL3" s="325"/>
      <c r="BM3" s="325"/>
      <c r="BN3" s="325"/>
      <c r="BO3" s="325"/>
      <c r="BP3" s="325"/>
      <c r="BQ3" s="325"/>
      <c r="BR3" s="325"/>
      <c r="BS3" s="325"/>
      <c r="BT3" s="325"/>
      <c r="BU3" s="325"/>
      <c r="BV3" s="325"/>
      <c r="BW3" s="325"/>
      <c r="BX3" s="325"/>
      <c r="BY3" s="325"/>
      <c r="BZ3" s="325"/>
      <c r="CA3" s="325"/>
      <c r="CB3" s="325"/>
      <c r="CC3" s="325"/>
      <c r="CD3" s="325"/>
      <c r="CE3" s="325"/>
      <c r="CF3" s="325"/>
      <c r="CG3" s="325"/>
      <c r="CH3" s="325"/>
    </row>
    <row r="4" spans="1:86" ht="15">
      <c r="A4" s="326">
        <v>41699</v>
      </c>
      <c r="B4" s="322">
        <f t="shared" si="0"/>
        <v>3323.5833333333335</v>
      </c>
      <c r="C4" s="325">
        <v>300</v>
      </c>
      <c r="D4" s="328">
        <f t="shared" si="1"/>
        <v>997.075</v>
      </c>
      <c r="E4" s="328">
        <f t="shared" si="1"/>
        <v>997.075</v>
      </c>
      <c r="F4" s="323">
        <f t="shared" si="1"/>
        <v>997.075</v>
      </c>
      <c r="G4" s="323">
        <f t="shared" si="1"/>
        <v>997.075</v>
      </c>
      <c r="H4" s="323">
        <f t="shared" si="1"/>
        <v>997.075</v>
      </c>
      <c r="I4" s="323">
        <f t="shared" si="1"/>
        <v>997.075</v>
      </c>
      <c r="J4" s="323">
        <f t="shared" si="1"/>
        <v>997.075</v>
      </c>
      <c r="K4" s="323">
        <f t="shared" si="1"/>
        <v>997.075</v>
      </c>
      <c r="L4" s="323">
        <f t="shared" si="1"/>
        <v>997.075</v>
      </c>
      <c r="M4" s="323">
        <f t="shared" si="1"/>
        <v>997.075</v>
      </c>
      <c r="N4" s="323">
        <f t="shared" si="1"/>
        <v>997.075</v>
      </c>
      <c r="O4" s="323">
        <f t="shared" si="1"/>
        <v>997.075</v>
      </c>
      <c r="P4" s="323">
        <f t="shared" si="1"/>
        <v>997.075</v>
      </c>
      <c r="Q4" s="323">
        <f t="shared" si="1"/>
        <v>997.075</v>
      </c>
      <c r="R4" s="323">
        <f t="shared" si="1"/>
        <v>997.075</v>
      </c>
      <c r="S4" s="323">
        <f t="shared" si="1"/>
        <v>997.075</v>
      </c>
      <c r="T4" s="323">
        <f t="shared" si="2"/>
        <v>997.075</v>
      </c>
      <c r="U4" s="323">
        <f t="shared" si="2"/>
        <v>997.075</v>
      </c>
      <c r="V4" s="323">
        <f t="shared" si="2"/>
        <v>997.075</v>
      </c>
      <c r="W4" s="323">
        <f t="shared" si="2"/>
        <v>997.075</v>
      </c>
      <c r="X4" s="327">
        <f t="shared" si="2"/>
        <v>997.075</v>
      </c>
      <c r="Y4" s="327">
        <f t="shared" si="2"/>
        <v>997.075</v>
      </c>
      <c r="Z4" s="327">
        <f t="shared" si="2"/>
        <v>997.075</v>
      </c>
      <c r="AA4" s="327">
        <f t="shared" si="2"/>
        <v>997.075</v>
      </c>
      <c r="AB4" s="327">
        <f t="shared" si="2"/>
        <v>997.075</v>
      </c>
      <c r="AC4" s="327">
        <f t="shared" si="2"/>
        <v>997.075</v>
      </c>
      <c r="AD4" s="327">
        <f t="shared" si="2"/>
        <v>997.075</v>
      </c>
      <c r="AE4" s="327">
        <f t="shared" si="2"/>
        <v>997.075</v>
      </c>
      <c r="AF4" s="327">
        <f t="shared" si="2"/>
        <v>997.075</v>
      </c>
      <c r="AG4" s="327">
        <f t="shared" si="2"/>
        <v>997.075</v>
      </c>
      <c r="AH4" s="327">
        <f t="shared" si="2"/>
        <v>997.075</v>
      </c>
      <c r="AI4" s="327">
        <f t="shared" si="2"/>
        <v>997.075</v>
      </c>
      <c r="AJ4" s="327">
        <f t="shared" si="3"/>
        <v>997.075</v>
      </c>
      <c r="AK4" s="327">
        <f t="shared" si="3"/>
        <v>997.075</v>
      </c>
      <c r="AL4" s="327">
        <f t="shared" si="3"/>
        <v>997.075</v>
      </c>
      <c r="AM4" s="327">
        <f t="shared" si="3"/>
        <v>997.075</v>
      </c>
      <c r="AN4" s="327">
        <f t="shared" si="3"/>
        <v>997.075</v>
      </c>
      <c r="AO4" s="327">
        <f t="shared" si="3"/>
        <v>997.075</v>
      </c>
      <c r="AP4" s="325"/>
      <c r="AQ4" s="325"/>
      <c r="AR4" s="325"/>
      <c r="AS4" s="325"/>
      <c r="AT4" s="325"/>
      <c r="AU4" s="325"/>
      <c r="AV4" s="325"/>
      <c r="AW4" s="325"/>
      <c r="AX4" s="325"/>
      <c r="AY4" s="325"/>
      <c r="AZ4" s="325"/>
      <c r="BA4" s="325"/>
      <c r="BB4" s="325"/>
      <c r="BC4" s="325"/>
      <c r="BD4" s="325"/>
      <c r="BE4" s="325"/>
      <c r="BF4" s="325"/>
      <c r="BG4" s="325"/>
      <c r="BH4" s="325"/>
      <c r="BI4" s="325"/>
      <c r="BJ4" s="325"/>
      <c r="BK4" s="325"/>
      <c r="BL4" s="325"/>
      <c r="BM4" s="325"/>
      <c r="BN4" s="325"/>
      <c r="BO4" s="325"/>
      <c r="BP4" s="325"/>
      <c r="BQ4" s="325"/>
      <c r="BR4" s="325"/>
      <c r="BS4" s="325"/>
      <c r="BT4" s="325"/>
      <c r="BU4" s="325"/>
      <c r="BV4" s="325"/>
      <c r="BW4" s="325"/>
      <c r="BX4" s="325"/>
      <c r="BY4" s="325"/>
      <c r="BZ4" s="325"/>
      <c r="CA4" s="325"/>
      <c r="CB4" s="325"/>
      <c r="CC4" s="325"/>
      <c r="CD4" s="325"/>
      <c r="CE4" s="325"/>
      <c r="CF4" s="325"/>
      <c r="CG4" s="325"/>
      <c r="CH4" s="325"/>
    </row>
    <row r="5" spans="1:86" ht="15">
      <c r="A5" s="326">
        <v>41730</v>
      </c>
      <c r="B5" s="322">
        <f t="shared" si="0"/>
        <v>3323.5833333333335</v>
      </c>
      <c r="C5" s="325">
        <v>300</v>
      </c>
      <c r="D5" s="328">
        <f t="shared" si="1"/>
        <v>997.075</v>
      </c>
      <c r="E5" s="328">
        <f t="shared" si="1"/>
        <v>997.075</v>
      </c>
      <c r="F5" s="328">
        <f t="shared" si="1"/>
        <v>997.075</v>
      </c>
      <c r="G5" s="323">
        <f t="shared" si="1"/>
        <v>997.075</v>
      </c>
      <c r="H5" s="323">
        <f t="shared" si="1"/>
        <v>997.075</v>
      </c>
      <c r="I5" s="323">
        <f t="shared" si="1"/>
        <v>997.075</v>
      </c>
      <c r="J5" s="323">
        <f t="shared" si="1"/>
        <v>997.075</v>
      </c>
      <c r="K5" s="323">
        <f t="shared" si="1"/>
        <v>997.075</v>
      </c>
      <c r="L5" s="323">
        <f t="shared" si="1"/>
        <v>997.075</v>
      </c>
      <c r="M5" s="323">
        <f t="shared" si="1"/>
        <v>997.075</v>
      </c>
      <c r="N5" s="323">
        <f t="shared" si="1"/>
        <v>997.075</v>
      </c>
      <c r="O5" s="323">
        <f t="shared" si="1"/>
        <v>997.075</v>
      </c>
      <c r="P5" s="323">
        <f t="shared" si="1"/>
        <v>997.075</v>
      </c>
      <c r="Q5" s="323">
        <f t="shared" si="1"/>
        <v>997.075</v>
      </c>
      <c r="R5" s="323">
        <f t="shared" si="1"/>
        <v>997.075</v>
      </c>
      <c r="S5" s="323">
        <f t="shared" si="1"/>
        <v>997.075</v>
      </c>
      <c r="T5" s="323">
        <f t="shared" si="2"/>
        <v>997.075</v>
      </c>
      <c r="U5" s="323">
        <f t="shared" si="2"/>
        <v>997.075</v>
      </c>
      <c r="V5" s="323">
        <f t="shared" si="2"/>
        <v>997.075</v>
      </c>
      <c r="W5" s="323">
        <f t="shared" si="2"/>
        <v>997.075</v>
      </c>
      <c r="X5" s="323">
        <f t="shared" si="2"/>
        <v>997.075</v>
      </c>
      <c r="Y5" s="327">
        <f t="shared" si="2"/>
        <v>997.075</v>
      </c>
      <c r="Z5" s="327">
        <f t="shared" si="2"/>
        <v>997.075</v>
      </c>
      <c r="AA5" s="327">
        <f t="shared" si="2"/>
        <v>997.075</v>
      </c>
      <c r="AB5" s="327">
        <f t="shared" si="2"/>
        <v>997.075</v>
      </c>
      <c r="AC5" s="327">
        <f t="shared" si="2"/>
        <v>997.075</v>
      </c>
      <c r="AD5" s="327">
        <f t="shared" si="2"/>
        <v>997.075</v>
      </c>
      <c r="AE5" s="327">
        <f t="shared" si="2"/>
        <v>997.075</v>
      </c>
      <c r="AF5" s="327">
        <f t="shared" si="2"/>
        <v>997.075</v>
      </c>
      <c r="AG5" s="327">
        <f t="shared" si="2"/>
        <v>997.075</v>
      </c>
      <c r="AH5" s="327">
        <f t="shared" si="2"/>
        <v>997.075</v>
      </c>
      <c r="AI5" s="327">
        <f t="shared" si="2"/>
        <v>997.075</v>
      </c>
      <c r="AJ5" s="327">
        <f t="shared" si="3"/>
        <v>997.075</v>
      </c>
      <c r="AK5" s="327">
        <f t="shared" si="3"/>
        <v>997.075</v>
      </c>
      <c r="AL5" s="327">
        <f t="shared" si="3"/>
        <v>997.075</v>
      </c>
      <c r="AM5" s="327">
        <f t="shared" si="3"/>
        <v>997.075</v>
      </c>
      <c r="AN5" s="327">
        <f t="shared" si="3"/>
        <v>997.075</v>
      </c>
      <c r="AO5" s="327">
        <f t="shared" si="3"/>
        <v>997.075</v>
      </c>
      <c r="AP5" s="327">
        <f t="shared" si="3"/>
        <v>997.075</v>
      </c>
      <c r="AQ5" s="325"/>
      <c r="AR5" s="325"/>
      <c r="AS5" s="325"/>
      <c r="AT5" s="325"/>
      <c r="AU5" s="325"/>
      <c r="AV5" s="325"/>
      <c r="AW5" s="325"/>
      <c r="AX5" s="325"/>
      <c r="AY5" s="325"/>
      <c r="AZ5" s="325"/>
      <c r="BA5" s="325"/>
      <c r="BB5" s="325"/>
      <c r="BC5" s="325"/>
      <c r="BD5" s="325"/>
      <c r="BE5" s="325"/>
      <c r="BF5" s="325"/>
      <c r="BG5" s="325"/>
      <c r="BH5" s="325"/>
      <c r="BI5" s="325"/>
      <c r="BJ5" s="325"/>
      <c r="BK5" s="325"/>
      <c r="BL5" s="325"/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5"/>
      <c r="BX5" s="325"/>
      <c r="BY5" s="325"/>
      <c r="BZ5" s="325"/>
      <c r="CA5" s="325"/>
      <c r="CB5" s="325"/>
      <c r="CC5" s="325"/>
      <c r="CD5" s="325"/>
      <c r="CE5" s="325"/>
      <c r="CF5" s="325"/>
      <c r="CG5" s="325"/>
      <c r="CH5" s="325"/>
    </row>
    <row r="6" spans="1:86" ht="15">
      <c r="A6" s="326">
        <v>41760</v>
      </c>
      <c r="B6" s="322">
        <f t="shared" si="0"/>
        <v>3323.5833333333335</v>
      </c>
      <c r="C6" s="325">
        <v>300</v>
      </c>
      <c r="D6" s="328">
        <f t="shared" si="1"/>
        <v>997.075</v>
      </c>
      <c r="E6" s="328">
        <f t="shared" si="1"/>
        <v>997.075</v>
      </c>
      <c r="F6" s="328">
        <f t="shared" si="1"/>
        <v>997.075</v>
      </c>
      <c r="G6" s="325"/>
      <c r="H6" s="323">
        <f t="shared" si="1"/>
        <v>997.075</v>
      </c>
      <c r="I6" s="323">
        <f t="shared" si="1"/>
        <v>997.075</v>
      </c>
      <c r="J6" s="323">
        <f t="shared" si="1"/>
        <v>997.075</v>
      </c>
      <c r="K6" s="323">
        <f t="shared" si="1"/>
        <v>997.075</v>
      </c>
      <c r="L6" s="323">
        <f t="shared" si="1"/>
        <v>997.075</v>
      </c>
      <c r="M6" s="323">
        <f t="shared" si="1"/>
        <v>997.075</v>
      </c>
      <c r="N6" s="323">
        <f t="shared" si="1"/>
        <v>997.075</v>
      </c>
      <c r="O6" s="323">
        <f t="shared" si="1"/>
        <v>997.075</v>
      </c>
      <c r="P6" s="323">
        <f t="shared" si="1"/>
        <v>997.075</v>
      </c>
      <c r="Q6" s="323">
        <f t="shared" si="1"/>
        <v>997.075</v>
      </c>
      <c r="R6" s="323">
        <f t="shared" si="1"/>
        <v>997.075</v>
      </c>
      <c r="S6" s="323">
        <f t="shared" si="1"/>
        <v>997.075</v>
      </c>
      <c r="T6" s="323">
        <f t="shared" si="2"/>
        <v>997.075</v>
      </c>
      <c r="U6" s="323">
        <f t="shared" si="2"/>
        <v>997.075</v>
      </c>
      <c r="V6" s="323">
        <f t="shared" si="2"/>
        <v>997.075</v>
      </c>
      <c r="W6" s="323">
        <f t="shared" si="2"/>
        <v>997.075</v>
      </c>
      <c r="X6" s="323">
        <f t="shared" si="2"/>
        <v>997.075</v>
      </c>
      <c r="Y6" s="323">
        <f t="shared" si="2"/>
        <v>997.075</v>
      </c>
      <c r="Z6" s="327">
        <f t="shared" si="2"/>
        <v>997.075</v>
      </c>
      <c r="AA6" s="327">
        <f t="shared" si="2"/>
        <v>997.075</v>
      </c>
      <c r="AB6" s="327">
        <f t="shared" si="2"/>
        <v>997.075</v>
      </c>
      <c r="AC6" s="327">
        <f t="shared" si="2"/>
        <v>997.075</v>
      </c>
      <c r="AD6" s="327">
        <f t="shared" si="2"/>
        <v>997.075</v>
      </c>
      <c r="AE6" s="327">
        <f t="shared" si="2"/>
        <v>997.075</v>
      </c>
      <c r="AF6" s="327">
        <f t="shared" si="2"/>
        <v>997.075</v>
      </c>
      <c r="AG6" s="327">
        <f t="shared" si="2"/>
        <v>997.075</v>
      </c>
      <c r="AH6" s="327">
        <f t="shared" si="2"/>
        <v>997.075</v>
      </c>
      <c r="AI6" s="327">
        <f t="shared" si="2"/>
        <v>997.075</v>
      </c>
      <c r="AJ6" s="327">
        <f t="shared" si="3"/>
        <v>997.075</v>
      </c>
      <c r="AK6" s="327">
        <f t="shared" si="3"/>
        <v>997.075</v>
      </c>
      <c r="AL6" s="327">
        <f t="shared" si="3"/>
        <v>997.075</v>
      </c>
      <c r="AM6" s="327">
        <f t="shared" si="3"/>
        <v>997.075</v>
      </c>
      <c r="AN6" s="327">
        <f t="shared" si="3"/>
        <v>997.075</v>
      </c>
      <c r="AO6" s="327">
        <f t="shared" si="3"/>
        <v>997.075</v>
      </c>
      <c r="AP6" s="327">
        <f t="shared" si="3"/>
        <v>997.075</v>
      </c>
      <c r="AQ6" s="327">
        <f t="shared" si="3"/>
        <v>997.075</v>
      </c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5"/>
      <c r="BE6" s="325"/>
      <c r="BF6" s="325"/>
      <c r="BG6" s="325"/>
      <c r="BH6" s="325"/>
      <c r="BI6" s="325"/>
      <c r="BJ6" s="325"/>
      <c r="BK6" s="325"/>
      <c r="BL6" s="325"/>
      <c r="BM6" s="325"/>
      <c r="BN6" s="325"/>
      <c r="BO6" s="325"/>
      <c r="BP6" s="325"/>
      <c r="BQ6" s="325"/>
      <c r="BR6" s="325"/>
      <c r="BS6" s="325"/>
      <c r="BT6" s="325"/>
      <c r="BU6" s="325"/>
      <c r="BV6" s="325"/>
      <c r="BW6" s="325"/>
      <c r="BX6" s="325"/>
      <c r="BY6" s="325"/>
      <c r="BZ6" s="325"/>
      <c r="CA6" s="325"/>
      <c r="CB6" s="325"/>
      <c r="CC6" s="325"/>
      <c r="CD6" s="325"/>
      <c r="CE6" s="325"/>
      <c r="CF6" s="325"/>
      <c r="CG6" s="325"/>
      <c r="CH6" s="325"/>
    </row>
    <row r="7" spans="1:86" ht="15">
      <c r="A7" s="326">
        <v>41791</v>
      </c>
      <c r="B7" s="322">
        <f t="shared" si="0"/>
        <v>3323.5833333333335</v>
      </c>
      <c r="C7" s="325">
        <v>300</v>
      </c>
      <c r="D7" s="328">
        <f t="shared" si="1"/>
        <v>997.075</v>
      </c>
      <c r="E7" s="328">
        <f t="shared" si="1"/>
        <v>997.075</v>
      </c>
      <c r="F7" s="328">
        <f t="shared" si="1"/>
        <v>997.075</v>
      </c>
      <c r="G7" s="325"/>
      <c r="H7" s="325"/>
      <c r="I7" s="323">
        <f t="shared" si="1"/>
        <v>997.075</v>
      </c>
      <c r="J7" s="323">
        <f t="shared" si="1"/>
        <v>997.075</v>
      </c>
      <c r="K7" s="323">
        <f t="shared" si="1"/>
        <v>997.075</v>
      </c>
      <c r="L7" s="323">
        <f t="shared" si="1"/>
        <v>997.075</v>
      </c>
      <c r="M7" s="323">
        <f t="shared" si="1"/>
        <v>997.075</v>
      </c>
      <c r="N7" s="323">
        <f t="shared" si="1"/>
        <v>997.075</v>
      </c>
      <c r="O7" s="323">
        <f t="shared" si="1"/>
        <v>997.075</v>
      </c>
      <c r="P7" s="323">
        <f t="shared" si="1"/>
        <v>997.075</v>
      </c>
      <c r="Q7" s="323">
        <f t="shared" si="1"/>
        <v>997.075</v>
      </c>
      <c r="R7" s="323">
        <f t="shared" si="1"/>
        <v>997.075</v>
      </c>
      <c r="S7" s="323">
        <f t="shared" si="1"/>
        <v>997.075</v>
      </c>
      <c r="T7" s="323">
        <f t="shared" si="2"/>
        <v>997.075</v>
      </c>
      <c r="U7" s="323">
        <f t="shared" si="2"/>
        <v>997.075</v>
      </c>
      <c r="V7" s="323">
        <f t="shared" si="2"/>
        <v>997.075</v>
      </c>
      <c r="W7" s="323">
        <f t="shared" si="2"/>
        <v>997.075</v>
      </c>
      <c r="X7" s="323">
        <f t="shared" si="2"/>
        <v>997.075</v>
      </c>
      <c r="Y7" s="323">
        <f t="shared" si="2"/>
        <v>997.075</v>
      </c>
      <c r="Z7" s="323">
        <f t="shared" si="2"/>
        <v>997.075</v>
      </c>
      <c r="AA7" s="327">
        <f t="shared" si="2"/>
        <v>997.075</v>
      </c>
      <c r="AB7" s="327">
        <f t="shared" si="2"/>
        <v>997.075</v>
      </c>
      <c r="AC7" s="327">
        <f t="shared" si="2"/>
        <v>997.075</v>
      </c>
      <c r="AD7" s="327">
        <f t="shared" si="2"/>
        <v>997.075</v>
      </c>
      <c r="AE7" s="327">
        <f t="shared" si="2"/>
        <v>997.075</v>
      </c>
      <c r="AF7" s="327">
        <f t="shared" si="2"/>
        <v>997.075</v>
      </c>
      <c r="AG7" s="327">
        <f t="shared" si="2"/>
        <v>997.075</v>
      </c>
      <c r="AH7" s="327">
        <f t="shared" si="2"/>
        <v>997.075</v>
      </c>
      <c r="AI7" s="327">
        <f t="shared" si="2"/>
        <v>997.075</v>
      </c>
      <c r="AJ7" s="327">
        <f t="shared" si="3"/>
        <v>997.075</v>
      </c>
      <c r="AK7" s="327">
        <f t="shared" si="3"/>
        <v>997.075</v>
      </c>
      <c r="AL7" s="327">
        <f t="shared" si="3"/>
        <v>997.075</v>
      </c>
      <c r="AM7" s="327">
        <f t="shared" si="3"/>
        <v>997.075</v>
      </c>
      <c r="AN7" s="327">
        <f t="shared" si="3"/>
        <v>997.075</v>
      </c>
      <c r="AO7" s="327">
        <f t="shared" si="3"/>
        <v>997.075</v>
      </c>
      <c r="AP7" s="327">
        <f t="shared" si="3"/>
        <v>997.075</v>
      </c>
      <c r="AQ7" s="327">
        <f t="shared" si="3"/>
        <v>997.075</v>
      </c>
      <c r="AR7" s="327">
        <f t="shared" si="3"/>
        <v>997.075</v>
      </c>
      <c r="AS7" s="325"/>
      <c r="AT7" s="325"/>
      <c r="AU7" s="325"/>
      <c r="AV7" s="325"/>
      <c r="AW7" s="325"/>
      <c r="AX7" s="325"/>
      <c r="AY7" s="325"/>
      <c r="AZ7" s="325"/>
      <c r="BA7" s="325"/>
      <c r="BB7" s="325"/>
      <c r="BC7" s="325"/>
      <c r="BD7" s="325"/>
      <c r="BE7" s="325"/>
      <c r="BF7" s="325"/>
      <c r="BG7" s="325"/>
      <c r="BH7" s="325"/>
      <c r="BI7" s="325"/>
      <c r="BJ7" s="325"/>
      <c r="BK7" s="325"/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</row>
    <row r="8" spans="1:86" ht="15">
      <c r="A8" s="326">
        <v>41821</v>
      </c>
      <c r="B8" s="322">
        <f t="shared" si="0"/>
        <v>3323.5833333333335</v>
      </c>
      <c r="C8" s="325">
        <v>300</v>
      </c>
      <c r="D8" s="328">
        <f t="shared" si="1"/>
        <v>997.075</v>
      </c>
      <c r="E8" s="328">
        <f t="shared" si="1"/>
        <v>997.075</v>
      </c>
      <c r="F8" s="328">
        <f t="shared" si="1"/>
        <v>997.075</v>
      </c>
      <c r="G8" s="325"/>
      <c r="H8" s="325"/>
      <c r="I8" s="325"/>
      <c r="J8" s="323">
        <f t="shared" si="1"/>
        <v>997.075</v>
      </c>
      <c r="K8" s="323">
        <f t="shared" si="1"/>
        <v>997.075</v>
      </c>
      <c r="L8" s="323">
        <f t="shared" si="1"/>
        <v>997.075</v>
      </c>
      <c r="M8" s="323">
        <f t="shared" si="1"/>
        <v>997.075</v>
      </c>
      <c r="N8" s="323">
        <f t="shared" si="1"/>
        <v>997.075</v>
      </c>
      <c r="O8" s="323">
        <f t="shared" si="1"/>
        <v>997.075</v>
      </c>
      <c r="P8" s="323">
        <f t="shared" si="1"/>
        <v>997.075</v>
      </c>
      <c r="Q8" s="323">
        <f t="shared" si="1"/>
        <v>997.075</v>
      </c>
      <c r="R8" s="323">
        <f t="shared" si="1"/>
        <v>997.075</v>
      </c>
      <c r="S8" s="323">
        <f t="shared" si="1"/>
        <v>997.075</v>
      </c>
      <c r="T8" s="323">
        <f t="shared" si="2"/>
        <v>997.075</v>
      </c>
      <c r="U8" s="323">
        <f t="shared" si="2"/>
        <v>997.075</v>
      </c>
      <c r="V8" s="323">
        <f t="shared" si="2"/>
        <v>997.075</v>
      </c>
      <c r="W8" s="323">
        <f t="shared" si="2"/>
        <v>997.075</v>
      </c>
      <c r="X8" s="323">
        <f t="shared" si="2"/>
        <v>997.075</v>
      </c>
      <c r="Y8" s="323">
        <f t="shared" si="2"/>
        <v>997.075</v>
      </c>
      <c r="Z8" s="323">
        <f t="shared" si="2"/>
        <v>997.075</v>
      </c>
      <c r="AA8" s="323">
        <f t="shared" si="2"/>
        <v>997.075</v>
      </c>
      <c r="AB8" s="327">
        <f t="shared" si="2"/>
        <v>997.075</v>
      </c>
      <c r="AC8" s="327">
        <f t="shared" si="2"/>
        <v>997.075</v>
      </c>
      <c r="AD8" s="327">
        <f t="shared" si="2"/>
        <v>997.075</v>
      </c>
      <c r="AE8" s="327">
        <f t="shared" si="2"/>
        <v>997.075</v>
      </c>
      <c r="AF8" s="327">
        <f t="shared" si="2"/>
        <v>997.075</v>
      </c>
      <c r="AG8" s="327">
        <f t="shared" si="2"/>
        <v>997.075</v>
      </c>
      <c r="AH8" s="327">
        <f t="shared" si="2"/>
        <v>997.075</v>
      </c>
      <c r="AI8" s="327">
        <f t="shared" si="2"/>
        <v>997.075</v>
      </c>
      <c r="AJ8" s="327">
        <f t="shared" si="3"/>
        <v>997.075</v>
      </c>
      <c r="AK8" s="327">
        <f t="shared" si="3"/>
        <v>997.075</v>
      </c>
      <c r="AL8" s="327">
        <f t="shared" si="3"/>
        <v>997.075</v>
      </c>
      <c r="AM8" s="327">
        <f t="shared" si="3"/>
        <v>997.075</v>
      </c>
      <c r="AN8" s="327">
        <f t="shared" si="3"/>
        <v>997.075</v>
      </c>
      <c r="AO8" s="327">
        <f t="shared" si="3"/>
        <v>997.075</v>
      </c>
      <c r="AP8" s="327">
        <f t="shared" si="3"/>
        <v>997.075</v>
      </c>
      <c r="AQ8" s="327">
        <f t="shared" si="3"/>
        <v>997.075</v>
      </c>
      <c r="AR8" s="327">
        <f t="shared" si="3"/>
        <v>997.075</v>
      </c>
      <c r="AS8" s="327">
        <f t="shared" si="3"/>
        <v>997.075</v>
      </c>
      <c r="AT8" s="325"/>
      <c r="AU8" s="325"/>
      <c r="AV8" s="325"/>
      <c r="AW8" s="325"/>
      <c r="AX8" s="325"/>
      <c r="AY8" s="325"/>
      <c r="AZ8" s="325"/>
      <c r="BA8" s="325"/>
      <c r="BB8" s="325"/>
      <c r="BC8" s="325"/>
      <c r="BD8" s="325"/>
      <c r="BE8" s="325"/>
      <c r="BF8" s="325"/>
      <c r="BG8" s="325"/>
      <c r="BH8" s="325"/>
      <c r="BI8" s="325"/>
      <c r="BJ8" s="325"/>
      <c r="BK8" s="325"/>
      <c r="BL8" s="325"/>
      <c r="BM8" s="325"/>
      <c r="BN8" s="325"/>
      <c r="BO8" s="325"/>
      <c r="BP8" s="325"/>
      <c r="BQ8" s="325"/>
      <c r="BR8" s="325"/>
      <c r="BS8" s="325"/>
      <c r="BT8" s="325"/>
      <c r="BU8" s="325"/>
      <c r="BV8" s="325"/>
      <c r="BW8" s="325"/>
      <c r="BX8" s="325"/>
      <c r="BY8" s="325"/>
      <c r="BZ8" s="325"/>
      <c r="CA8" s="325"/>
      <c r="CB8" s="325"/>
      <c r="CC8" s="325"/>
      <c r="CD8" s="325"/>
      <c r="CE8" s="325"/>
      <c r="CF8" s="325"/>
      <c r="CG8" s="325"/>
      <c r="CH8" s="325"/>
    </row>
    <row r="9" spans="1:86" ht="15">
      <c r="A9" s="326">
        <v>41852</v>
      </c>
      <c r="B9" s="322">
        <f t="shared" si="0"/>
        <v>3323.5833333333335</v>
      </c>
      <c r="C9" s="325">
        <v>300</v>
      </c>
      <c r="D9" s="328">
        <f t="shared" si="1"/>
        <v>997.075</v>
      </c>
      <c r="E9" s="328">
        <f t="shared" si="1"/>
        <v>997.075</v>
      </c>
      <c r="F9" s="328">
        <f t="shared" si="1"/>
        <v>997.075</v>
      </c>
      <c r="G9" s="325"/>
      <c r="H9" s="325"/>
      <c r="I9" s="325"/>
      <c r="J9" s="325"/>
      <c r="K9" s="323">
        <f t="shared" si="1"/>
        <v>997.075</v>
      </c>
      <c r="L9" s="323">
        <f t="shared" si="1"/>
        <v>997.075</v>
      </c>
      <c r="M9" s="323">
        <f t="shared" si="1"/>
        <v>997.075</v>
      </c>
      <c r="N9" s="323">
        <f t="shared" si="1"/>
        <v>997.075</v>
      </c>
      <c r="O9" s="323">
        <f t="shared" si="1"/>
        <v>997.075</v>
      </c>
      <c r="P9" s="323">
        <f t="shared" si="1"/>
        <v>997.075</v>
      </c>
      <c r="Q9" s="323">
        <f t="shared" si="1"/>
        <v>997.075</v>
      </c>
      <c r="R9" s="323">
        <f t="shared" si="1"/>
        <v>997.075</v>
      </c>
      <c r="S9" s="323">
        <f t="shared" si="1"/>
        <v>997.075</v>
      </c>
      <c r="T9" s="323">
        <f t="shared" si="2"/>
        <v>997.075</v>
      </c>
      <c r="U9" s="323">
        <f t="shared" si="2"/>
        <v>997.075</v>
      </c>
      <c r="V9" s="323">
        <f t="shared" si="2"/>
        <v>997.075</v>
      </c>
      <c r="W9" s="323">
        <f t="shared" si="2"/>
        <v>997.075</v>
      </c>
      <c r="X9" s="323">
        <f t="shared" si="2"/>
        <v>997.075</v>
      </c>
      <c r="Y9" s="323">
        <f t="shared" si="2"/>
        <v>997.075</v>
      </c>
      <c r="Z9" s="323">
        <f t="shared" si="2"/>
        <v>997.075</v>
      </c>
      <c r="AA9" s="323">
        <f t="shared" si="2"/>
        <v>997.075</v>
      </c>
      <c r="AB9" s="323">
        <f t="shared" si="2"/>
        <v>997.075</v>
      </c>
      <c r="AC9" s="327">
        <f t="shared" si="2"/>
        <v>997.075</v>
      </c>
      <c r="AD9" s="327">
        <f t="shared" si="2"/>
        <v>997.075</v>
      </c>
      <c r="AE9" s="327">
        <f t="shared" si="2"/>
        <v>997.075</v>
      </c>
      <c r="AF9" s="327">
        <f t="shared" si="2"/>
        <v>997.075</v>
      </c>
      <c r="AG9" s="327">
        <f t="shared" si="2"/>
        <v>997.075</v>
      </c>
      <c r="AH9" s="327">
        <f t="shared" si="2"/>
        <v>997.075</v>
      </c>
      <c r="AI9" s="327">
        <f t="shared" si="2"/>
        <v>997.075</v>
      </c>
      <c r="AJ9" s="327">
        <f t="shared" si="3"/>
        <v>997.075</v>
      </c>
      <c r="AK9" s="327">
        <f t="shared" si="3"/>
        <v>997.075</v>
      </c>
      <c r="AL9" s="327">
        <f t="shared" si="3"/>
        <v>997.075</v>
      </c>
      <c r="AM9" s="327">
        <f t="shared" si="3"/>
        <v>997.075</v>
      </c>
      <c r="AN9" s="327">
        <f t="shared" si="3"/>
        <v>997.075</v>
      </c>
      <c r="AO9" s="327">
        <f t="shared" si="3"/>
        <v>997.075</v>
      </c>
      <c r="AP9" s="327">
        <f t="shared" si="3"/>
        <v>997.075</v>
      </c>
      <c r="AQ9" s="327">
        <f t="shared" si="3"/>
        <v>997.075</v>
      </c>
      <c r="AR9" s="327">
        <f t="shared" si="3"/>
        <v>997.075</v>
      </c>
      <c r="AS9" s="327">
        <f t="shared" si="3"/>
        <v>997.075</v>
      </c>
      <c r="AT9" s="327">
        <f t="shared" si="3"/>
        <v>997.075</v>
      </c>
      <c r="AU9" s="325"/>
      <c r="AV9" s="325"/>
      <c r="AW9" s="325"/>
      <c r="AX9" s="325"/>
      <c r="AY9" s="325"/>
      <c r="AZ9" s="325"/>
      <c r="BA9" s="325"/>
      <c r="BB9" s="325"/>
      <c r="BC9" s="325"/>
      <c r="BD9" s="325"/>
      <c r="BE9" s="325"/>
      <c r="BF9" s="325"/>
      <c r="BG9" s="325"/>
      <c r="BH9" s="325"/>
      <c r="BI9" s="325"/>
      <c r="BJ9" s="325"/>
      <c r="BK9" s="325"/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</row>
    <row r="10" spans="1:86" ht="15">
      <c r="A10" s="326">
        <v>41883</v>
      </c>
      <c r="B10" s="322">
        <f t="shared" si="0"/>
        <v>3323.5833333333335</v>
      </c>
      <c r="C10" s="325">
        <v>300</v>
      </c>
      <c r="D10" s="328">
        <f t="shared" si="1"/>
        <v>997.075</v>
      </c>
      <c r="E10" s="328">
        <f t="shared" si="1"/>
        <v>997.075</v>
      </c>
      <c r="F10" s="328">
        <f t="shared" si="1"/>
        <v>997.075</v>
      </c>
      <c r="G10" s="325"/>
      <c r="H10" s="325"/>
      <c r="I10" s="325"/>
      <c r="J10" s="325"/>
      <c r="K10" s="325"/>
      <c r="L10" s="323">
        <f t="shared" si="1"/>
        <v>997.075</v>
      </c>
      <c r="M10" s="323">
        <f t="shared" si="1"/>
        <v>997.075</v>
      </c>
      <c r="N10" s="323">
        <f t="shared" si="1"/>
        <v>997.075</v>
      </c>
      <c r="O10" s="323">
        <f t="shared" si="1"/>
        <v>997.075</v>
      </c>
      <c r="P10" s="323">
        <f t="shared" si="1"/>
        <v>997.075</v>
      </c>
      <c r="Q10" s="323">
        <f t="shared" si="1"/>
        <v>997.075</v>
      </c>
      <c r="R10" s="323">
        <f t="shared" si="1"/>
        <v>997.075</v>
      </c>
      <c r="S10" s="323">
        <f t="shared" si="1"/>
        <v>997.075</v>
      </c>
      <c r="T10" s="323">
        <f t="shared" si="2"/>
        <v>997.075</v>
      </c>
      <c r="U10" s="323">
        <f t="shared" si="2"/>
        <v>997.075</v>
      </c>
      <c r="V10" s="323">
        <f t="shared" si="2"/>
        <v>997.075</v>
      </c>
      <c r="W10" s="323">
        <f t="shared" si="2"/>
        <v>997.075</v>
      </c>
      <c r="X10" s="323">
        <f t="shared" si="2"/>
        <v>997.075</v>
      </c>
      <c r="Y10" s="323">
        <f t="shared" si="2"/>
        <v>997.075</v>
      </c>
      <c r="Z10" s="323">
        <f t="shared" si="2"/>
        <v>997.075</v>
      </c>
      <c r="AA10" s="323">
        <f t="shared" si="2"/>
        <v>997.075</v>
      </c>
      <c r="AB10" s="323">
        <f t="shared" si="2"/>
        <v>997.075</v>
      </c>
      <c r="AC10" s="323">
        <f t="shared" si="2"/>
        <v>997.075</v>
      </c>
      <c r="AD10" s="327">
        <f t="shared" si="2"/>
        <v>997.075</v>
      </c>
      <c r="AE10" s="327">
        <f t="shared" si="2"/>
        <v>997.075</v>
      </c>
      <c r="AF10" s="327">
        <f t="shared" si="2"/>
        <v>997.075</v>
      </c>
      <c r="AG10" s="327">
        <f t="shared" si="2"/>
        <v>997.075</v>
      </c>
      <c r="AH10" s="327">
        <f t="shared" si="2"/>
        <v>997.075</v>
      </c>
      <c r="AI10" s="327">
        <f t="shared" si="2"/>
        <v>997.075</v>
      </c>
      <c r="AJ10" s="327">
        <f t="shared" si="3"/>
        <v>997.075</v>
      </c>
      <c r="AK10" s="327">
        <f t="shared" si="3"/>
        <v>997.075</v>
      </c>
      <c r="AL10" s="327">
        <f t="shared" si="3"/>
        <v>997.075</v>
      </c>
      <c r="AM10" s="327">
        <f t="shared" si="3"/>
        <v>997.075</v>
      </c>
      <c r="AN10" s="327">
        <f t="shared" si="3"/>
        <v>997.075</v>
      </c>
      <c r="AO10" s="327">
        <f t="shared" si="3"/>
        <v>997.075</v>
      </c>
      <c r="AP10" s="327">
        <f t="shared" si="3"/>
        <v>997.075</v>
      </c>
      <c r="AQ10" s="327">
        <f t="shared" si="3"/>
        <v>997.075</v>
      </c>
      <c r="AR10" s="327">
        <f t="shared" si="3"/>
        <v>997.075</v>
      </c>
      <c r="AS10" s="327">
        <f t="shared" si="3"/>
        <v>997.075</v>
      </c>
      <c r="AT10" s="327">
        <f t="shared" si="3"/>
        <v>997.075</v>
      </c>
      <c r="AU10" s="327">
        <f t="shared" si="3"/>
        <v>997.075</v>
      </c>
      <c r="AV10" s="325"/>
      <c r="AW10" s="325"/>
      <c r="AX10" s="325"/>
      <c r="AY10" s="325"/>
      <c r="AZ10" s="325"/>
      <c r="BA10" s="325"/>
      <c r="BB10" s="325"/>
      <c r="BC10" s="325"/>
      <c r="BD10" s="325"/>
      <c r="BE10" s="325"/>
      <c r="BF10" s="325"/>
      <c r="BG10" s="325"/>
      <c r="BH10" s="325"/>
      <c r="BI10" s="325"/>
      <c r="BJ10" s="325"/>
      <c r="BK10" s="325"/>
      <c r="BL10" s="325"/>
      <c r="BM10" s="325"/>
      <c r="BN10" s="325"/>
      <c r="BO10" s="325"/>
      <c r="BP10" s="325"/>
      <c r="BQ10" s="325"/>
      <c r="BR10" s="325"/>
      <c r="BS10" s="325"/>
      <c r="BT10" s="325"/>
      <c r="BU10" s="325"/>
      <c r="BV10" s="325"/>
      <c r="BW10" s="325"/>
      <c r="BX10" s="325"/>
      <c r="BY10" s="325"/>
      <c r="BZ10" s="325"/>
      <c r="CA10" s="325"/>
      <c r="CB10" s="325"/>
      <c r="CC10" s="325"/>
      <c r="CD10" s="325"/>
      <c r="CE10" s="325"/>
      <c r="CF10" s="325"/>
      <c r="CG10" s="325"/>
      <c r="CH10" s="325"/>
    </row>
    <row r="11" spans="1:86" ht="15">
      <c r="A11" s="326">
        <v>41913</v>
      </c>
      <c r="B11" s="322">
        <f t="shared" si="0"/>
        <v>3323.5833333333335</v>
      </c>
      <c r="C11" s="325">
        <v>300</v>
      </c>
      <c r="D11" s="328">
        <f t="shared" si="1"/>
        <v>997.075</v>
      </c>
      <c r="E11" s="328">
        <f t="shared" si="1"/>
        <v>997.075</v>
      </c>
      <c r="F11" s="328">
        <f t="shared" si="1"/>
        <v>997.075</v>
      </c>
      <c r="G11" s="325"/>
      <c r="H11" s="325"/>
      <c r="I11" s="325"/>
      <c r="J11" s="325"/>
      <c r="K11" s="325"/>
      <c r="L11" s="325"/>
      <c r="M11" s="323">
        <f t="shared" si="1"/>
        <v>997.075</v>
      </c>
      <c r="N11" s="323">
        <f t="shared" si="1"/>
        <v>997.075</v>
      </c>
      <c r="O11" s="323">
        <f t="shared" si="1"/>
        <v>997.075</v>
      </c>
      <c r="P11" s="323">
        <f t="shared" si="1"/>
        <v>997.075</v>
      </c>
      <c r="Q11" s="323">
        <f t="shared" si="1"/>
        <v>997.075</v>
      </c>
      <c r="R11" s="323">
        <f t="shared" si="1"/>
        <v>997.075</v>
      </c>
      <c r="S11" s="323">
        <f t="shared" si="1"/>
        <v>997.075</v>
      </c>
      <c r="T11" s="323">
        <f t="shared" si="2"/>
        <v>997.075</v>
      </c>
      <c r="U11" s="323">
        <f t="shared" si="2"/>
        <v>997.075</v>
      </c>
      <c r="V11" s="323">
        <f t="shared" si="2"/>
        <v>997.075</v>
      </c>
      <c r="W11" s="323">
        <f t="shared" si="2"/>
        <v>997.075</v>
      </c>
      <c r="X11" s="323">
        <f t="shared" si="2"/>
        <v>997.075</v>
      </c>
      <c r="Y11" s="323">
        <f t="shared" si="2"/>
        <v>997.075</v>
      </c>
      <c r="Z11" s="323">
        <f t="shared" si="2"/>
        <v>997.075</v>
      </c>
      <c r="AA11" s="323">
        <f t="shared" si="2"/>
        <v>997.075</v>
      </c>
      <c r="AB11" s="323">
        <f t="shared" si="2"/>
        <v>997.075</v>
      </c>
      <c r="AC11" s="323">
        <f t="shared" si="2"/>
        <v>997.075</v>
      </c>
      <c r="AD11" s="323">
        <f t="shared" si="2"/>
        <v>997.075</v>
      </c>
      <c r="AE11" s="327">
        <f t="shared" si="2"/>
        <v>997.075</v>
      </c>
      <c r="AF11" s="327">
        <f t="shared" si="2"/>
        <v>997.075</v>
      </c>
      <c r="AG11" s="327">
        <f t="shared" si="2"/>
        <v>997.075</v>
      </c>
      <c r="AH11" s="327">
        <f t="shared" si="2"/>
        <v>997.075</v>
      </c>
      <c r="AI11" s="327">
        <f t="shared" si="2"/>
        <v>997.075</v>
      </c>
      <c r="AJ11" s="327">
        <f t="shared" si="3"/>
        <v>997.075</v>
      </c>
      <c r="AK11" s="327">
        <f t="shared" si="3"/>
        <v>997.075</v>
      </c>
      <c r="AL11" s="327">
        <f t="shared" si="3"/>
        <v>997.075</v>
      </c>
      <c r="AM11" s="327">
        <f t="shared" si="3"/>
        <v>997.075</v>
      </c>
      <c r="AN11" s="327">
        <f t="shared" si="3"/>
        <v>997.075</v>
      </c>
      <c r="AO11" s="327">
        <f t="shared" si="3"/>
        <v>997.075</v>
      </c>
      <c r="AP11" s="327">
        <f t="shared" si="3"/>
        <v>997.075</v>
      </c>
      <c r="AQ11" s="327">
        <f t="shared" si="3"/>
        <v>997.075</v>
      </c>
      <c r="AR11" s="327">
        <f t="shared" si="3"/>
        <v>997.075</v>
      </c>
      <c r="AS11" s="327">
        <f t="shared" si="3"/>
        <v>997.075</v>
      </c>
      <c r="AT11" s="327">
        <f t="shared" si="3"/>
        <v>997.075</v>
      </c>
      <c r="AU11" s="327">
        <f t="shared" si="3"/>
        <v>997.075</v>
      </c>
      <c r="AV11" s="327">
        <f t="shared" si="3"/>
        <v>997.075</v>
      </c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</row>
    <row r="12" spans="1:86" ht="15">
      <c r="A12" s="326">
        <v>41944</v>
      </c>
      <c r="B12" s="322">
        <f t="shared" si="0"/>
        <v>3323.5833333333335</v>
      </c>
      <c r="C12" s="325">
        <v>300</v>
      </c>
      <c r="D12" s="328">
        <f t="shared" si="1"/>
        <v>997.075</v>
      </c>
      <c r="E12" s="328">
        <f t="shared" si="1"/>
        <v>997.075</v>
      </c>
      <c r="F12" s="328">
        <f t="shared" si="1"/>
        <v>997.075</v>
      </c>
      <c r="G12" s="325"/>
      <c r="H12" s="325"/>
      <c r="I12" s="325"/>
      <c r="J12" s="325"/>
      <c r="K12" s="325"/>
      <c r="L12" s="325"/>
      <c r="M12" s="325"/>
      <c r="N12" s="323">
        <f t="shared" si="1"/>
        <v>997.075</v>
      </c>
      <c r="O12" s="323">
        <f t="shared" si="1"/>
        <v>997.075</v>
      </c>
      <c r="P12" s="323">
        <f t="shared" si="1"/>
        <v>997.075</v>
      </c>
      <c r="Q12" s="323">
        <f t="shared" si="1"/>
        <v>997.075</v>
      </c>
      <c r="R12" s="323">
        <f t="shared" si="1"/>
        <v>997.075</v>
      </c>
      <c r="S12" s="323">
        <f t="shared" si="1"/>
        <v>997.075</v>
      </c>
      <c r="T12" s="323">
        <f t="shared" si="2"/>
        <v>997.075</v>
      </c>
      <c r="U12" s="323">
        <f t="shared" si="2"/>
        <v>997.075</v>
      </c>
      <c r="V12" s="323">
        <f t="shared" si="2"/>
        <v>997.075</v>
      </c>
      <c r="W12" s="323">
        <f t="shared" si="2"/>
        <v>997.075</v>
      </c>
      <c r="X12" s="323">
        <f t="shared" si="2"/>
        <v>997.075</v>
      </c>
      <c r="Y12" s="323">
        <f t="shared" si="2"/>
        <v>997.075</v>
      </c>
      <c r="Z12" s="323">
        <f t="shared" si="2"/>
        <v>997.075</v>
      </c>
      <c r="AA12" s="323">
        <f t="shared" si="2"/>
        <v>997.075</v>
      </c>
      <c r="AB12" s="323">
        <f t="shared" si="2"/>
        <v>997.075</v>
      </c>
      <c r="AC12" s="323">
        <f t="shared" si="2"/>
        <v>997.075</v>
      </c>
      <c r="AD12" s="323">
        <f t="shared" si="2"/>
        <v>997.075</v>
      </c>
      <c r="AE12" s="323">
        <f t="shared" si="2"/>
        <v>997.075</v>
      </c>
      <c r="AF12" s="327">
        <f t="shared" si="2"/>
        <v>997.075</v>
      </c>
      <c r="AG12" s="327">
        <f t="shared" si="2"/>
        <v>997.075</v>
      </c>
      <c r="AH12" s="327">
        <f t="shared" si="2"/>
        <v>997.075</v>
      </c>
      <c r="AI12" s="327">
        <f t="shared" si="2"/>
        <v>997.075</v>
      </c>
      <c r="AJ12" s="327">
        <f t="shared" si="3"/>
        <v>997.075</v>
      </c>
      <c r="AK12" s="327">
        <f t="shared" si="3"/>
        <v>997.075</v>
      </c>
      <c r="AL12" s="327">
        <f t="shared" si="3"/>
        <v>997.075</v>
      </c>
      <c r="AM12" s="327">
        <f t="shared" si="3"/>
        <v>997.075</v>
      </c>
      <c r="AN12" s="327">
        <f t="shared" si="3"/>
        <v>997.075</v>
      </c>
      <c r="AO12" s="327">
        <f t="shared" si="3"/>
        <v>997.075</v>
      </c>
      <c r="AP12" s="327">
        <f t="shared" si="3"/>
        <v>997.075</v>
      </c>
      <c r="AQ12" s="327">
        <f t="shared" si="3"/>
        <v>997.075</v>
      </c>
      <c r="AR12" s="327">
        <f t="shared" si="3"/>
        <v>997.075</v>
      </c>
      <c r="AS12" s="327">
        <f t="shared" si="3"/>
        <v>997.075</v>
      </c>
      <c r="AT12" s="327">
        <f t="shared" si="3"/>
        <v>997.075</v>
      </c>
      <c r="AU12" s="327">
        <f t="shared" si="3"/>
        <v>997.075</v>
      </c>
      <c r="AV12" s="327">
        <f t="shared" si="3"/>
        <v>997.075</v>
      </c>
      <c r="AW12" s="327">
        <f t="shared" si="3"/>
        <v>997.075</v>
      </c>
      <c r="AX12" s="325"/>
      <c r="AY12" s="325"/>
      <c r="AZ12" s="325"/>
      <c r="BA12" s="325"/>
      <c r="BB12" s="325"/>
      <c r="BC12" s="325"/>
      <c r="BD12" s="325"/>
      <c r="BE12" s="325"/>
      <c r="BF12" s="325"/>
      <c r="BG12" s="325"/>
      <c r="BH12" s="325"/>
      <c r="BI12" s="325"/>
      <c r="BJ12" s="325"/>
      <c r="BK12" s="325"/>
      <c r="BL12" s="325"/>
      <c r="BM12" s="325"/>
      <c r="BN12" s="325"/>
      <c r="BO12" s="325"/>
      <c r="BP12" s="325"/>
      <c r="BQ12" s="325"/>
      <c r="BR12" s="325"/>
      <c r="BS12" s="325"/>
      <c r="BT12" s="325"/>
      <c r="BU12" s="325"/>
      <c r="BV12" s="325"/>
      <c r="BW12" s="325"/>
      <c r="BX12" s="325"/>
      <c r="BY12" s="325"/>
      <c r="BZ12" s="325"/>
      <c r="CA12" s="325"/>
      <c r="CB12" s="325"/>
      <c r="CC12" s="325"/>
      <c r="CD12" s="325"/>
      <c r="CE12" s="325"/>
      <c r="CF12" s="325"/>
      <c r="CG12" s="325"/>
      <c r="CH12" s="325"/>
    </row>
    <row r="13" spans="1:86" ht="15">
      <c r="A13" s="326">
        <v>41974</v>
      </c>
      <c r="B13" s="322">
        <f t="shared" si="0"/>
        <v>3323.5833333333335</v>
      </c>
      <c r="C13" s="325">
        <v>300</v>
      </c>
      <c r="D13" s="328">
        <f t="shared" si="1"/>
        <v>997.075</v>
      </c>
      <c r="E13" s="328">
        <f t="shared" si="1"/>
        <v>997.075</v>
      </c>
      <c r="F13" s="328">
        <f t="shared" si="1"/>
        <v>997.075</v>
      </c>
      <c r="G13" s="325"/>
      <c r="H13" s="325"/>
      <c r="I13" s="325"/>
      <c r="J13" s="325"/>
      <c r="K13" s="325"/>
      <c r="L13" s="325"/>
      <c r="M13" s="325"/>
      <c r="N13" s="325"/>
      <c r="O13" s="323">
        <f t="shared" si="1"/>
        <v>997.075</v>
      </c>
      <c r="P13" s="323">
        <f t="shared" si="1"/>
        <v>997.075</v>
      </c>
      <c r="Q13" s="323">
        <f t="shared" si="1"/>
        <v>997.075</v>
      </c>
      <c r="R13" s="323">
        <f t="shared" si="1"/>
        <v>997.075</v>
      </c>
      <c r="S13" s="323">
        <f t="shared" si="1"/>
        <v>997.075</v>
      </c>
      <c r="T13" s="323">
        <f t="shared" si="2"/>
        <v>997.075</v>
      </c>
      <c r="U13" s="323">
        <f t="shared" si="2"/>
        <v>997.075</v>
      </c>
      <c r="V13" s="323">
        <f t="shared" si="2"/>
        <v>997.075</v>
      </c>
      <c r="W13" s="323">
        <f t="shared" si="2"/>
        <v>997.075</v>
      </c>
      <c r="X13" s="323">
        <f t="shared" si="2"/>
        <v>997.075</v>
      </c>
      <c r="Y13" s="323">
        <f t="shared" si="2"/>
        <v>997.075</v>
      </c>
      <c r="Z13" s="323">
        <f t="shared" si="2"/>
        <v>997.075</v>
      </c>
      <c r="AA13" s="323">
        <f t="shared" si="2"/>
        <v>997.075</v>
      </c>
      <c r="AB13" s="323">
        <f t="shared" si="2"/>
        <v>997.075</v>
      </c>
      <c r="AC13" s="323">
        <f t="shared" si="2"/>
        <v>997.075</v>
      </c>
      <c r="AD13" s="323">
        <f t="shared" si="2"/>
        <v>997.075</v>
      </c>
      <c r="AE13" s="323">
        <f t="shared" si="2"/>
        <v>997.075</v>
      </c>
      <c r="AF13" s="323">
        <f t="shared" si="2"/>
        <v>997.075</v>
      </c>
      <c r="AG13" s="327">
        <f t="shared" si="2"/>
        <v>997.075</v>
      </c>
      <c r="AH13" s="327">
        <f t="shared" si="2"/>
        <v>997.075</v>
      </c>
      <c r="AI13" s="327">
        <f t="shared" si="2"/>
        <v>997.075</v>
      </c>
      <c r="AJ13" s="327">
        <f t="shared" si="3"/>
        <v>997.075</v>
      </c>
      <c r="AK13" s="327">
        <f t="shared" si="3"/>
        <v>997.075</v>
      </c>
      <c r="AL13" s="327">
        <f t="shared" si="3"/>
        <v>997.075</v>
      </c>
      <c r="AM13" s="327">
        <f t="shared" si="3"/>
        <v>997.075</v>
      </c>
      <c r="AN13" s="327">
        <f t="shared" si="3"/>
        <v>997.075</v>
      </c>
      <c r="AO13" s="327">
        <f t="shared" si="3"/>
        <v>997.075</v>
      </c>
      <c r="AP13" s="327">
        <f t="shared" si="3"/>
        <v>997.075</v>
      </c>
      <c r="AQ13" s="327">
        <f t="shared" si="3"/>
        <v>997.075</v>
      </c>
      <c r="AR13" s="327">
        <f t="shared" si="3"/>
        <v>997.075</v>
      </c>
      <c r="AS13" s="327">
        <f t="shared" si="3"/>
        <v>997.075</v>
      </c>
      <c r="AT13" s="327">
        <f t="shared" si="3"/>
        <v>997.075</v>
      </c>
      <c r="AU13" s="327">
        <f t="shared" si="3"/>
        <v>997.075</v>
      </c>
      <c r="AV13" s="327">
        <f t="shared" si="3"/>
        <v>997.075</v>
      </c>
      <c r="AW13" s="327">
        <f t="shared" si="3"/>
        <v>997.075</v>
      </c>
      <c r="AX13" s="327">
        <f aca="true" t="shared" si="4" ref="AX13:AX48">$B$1*$C$2/1000</f>
        <v>997.075</v>
      </c>
      <c r="AY13" s="325"/>
      <c r="AZ13" s="325"/>
      <c r="BA13" s="325"/>
      <c r="BB13" s="325"/>
      <c r="BC13" s="325"/>
      <c r="BD13" s="325"/>
      <c r="BE13" s="325"/>
      <c r="BF13" s="325"/>
      <c r="BG13" s="325"/>
      <c r="BH13" s="325"/>
      <c r="BI13" s="325"/>
      <c r="BJ13" s="325"/>
      <c r="BK13" s="325"/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</row>
    <row r="14" spans="1:86" ht="15">
      <c r="A14" s="326">
        <v>42005</v>
      </c>
      <c r="B14" s="322">
        <f t="shared" si="0"/>
        <v>3323.5833333333335</v>
      </c>
      <c r="C14" s="325">
        <v>300</v>
      </c>
      <c r="D14" s="328">
        <f t="shared" si="1"/>
        <v>997.075</v>
      </c>
      <c r="E14" s="328">
        <f t="shared" si="1"/>
        <v>997.075</v>
      </c>
      <c r="F14" s="328">
        <f t="shared" si="1"/>
        <v>997.075</v>
      </c>
      <c r="G14" s="325"/>
      <c r="H14" s="325"/>
      <c r="I14" s="325"/>
      <c r="J14" s="325"/>
      <c r="K14" s="325"/>
      <c r="L14" s="325"/>
      <c r="M14" s="325"/>
      <c r="N14" s="325"/>
      <c r="O14" s="325"/>
      <c r="P14" s="323">
        <f t="shared" si="1"/>
        <v>997.075</v>
      </c>
      <c r="Q14" s="323">
        <f t="shared" si="1"/>
        <v>997.075</v>
      </c>
      <c r="R14" s="323">
        <f t="shared" si="1"/>
        <v>997.075</v>
      </c>
      <c r="S14" s="323">
        <f t="shared" si="1"/>
        <v>997.075</v>
      </c>
      <c r="T14" s="323">
        <f t="shared" si="2"/>
        <v>997.075</v>
      </c>
      <c r="U14" s="323">
        <f t="shared" si="2"/>
        <v>997.075</v>
      </c>
      <c r="V14" s="323">
        <f t="shared" si="2"/>
        <v>997.075</v>
      </c>
      <c r="W14" s="323">
        <f t="shared" si="2"/>
        <v>997.075</v>
      </c>
      <c r="X14" s="323">
        <f t="shared" si="2"/>
        <v>997.075</v>
      </c>
      <c r="Y14" s="323">
        <f t="shared" si="2"/>
        <v>997.075</v>
      </c>
      <c r="Z14" s="323">
        <f t="shared" si="2"/>
        <v>997.075</v>
      </c>
      <c r="AA14" s="323">
        <f t="shared" si="2"/>
        <v>997.075</v>
      </c>
      <c r="AB14" s="323">
        <f t="shared" si="2"/>
        <v>997.075</v>
      </c>
      <c r="AC14" s="323">
        <f t="shared" si="2"/>
        <v>997.075</v>
      </c>
      <c r="AD14" s="323">
        <f t="shared" si="2"/>
        <v>997.075</v>
      </c>
      <c r="AE14" s="323">
        <f t="shared" si="2"/>
        <v>997.075</v>
      </c>
      <c r="AF14" s="323">
        <f t="shared" si="2"/>
        <v>997.075</v>
      </c>
      <c r="AG14" s="323">
        <f t="shared" si="2"/>
        <v>997.075</v>
      </c>
      <c r="AH14" s="327">
        <f t="shared" si="2"/>
        <v>997.075</v>
      </c>
      <c r="AI14" s="327">
        <f t="shared" si="2"/>
        <v>997.075</v>
      </c>
      <c r="AJ14" s="327">
        <f t="shared" si="3"/>
        <v>997.075</v>
      </c>
      <c r="AK14" s="327">
        <f t="shared" si="3"/>
        <v>997.075</v>
      </c>
      <c r="AL14" s="327">
        <f t="shared" si="3"/>
        <v>997.075</v>
      </c>
      <c r="AM14" s="327">
        <f t="shared" si="3"/>
        <v>997.075</v>
      </c>
      <c r="AN14" s="327">
        <f t="shared" si="3"/>
        <v>997.075</v>
      </c>
      <c r="AO14" s="327">
        <f t="shared" si="3"/>
        <v>997.075</v>
      </c>
      <c r="AP14" s="327">
        <f t="shared" si="3"/>
        <v>997.075</v>
      </c>
      <c r="AQ14" s="327">
        <f t="shared" si="3"/>
        <v>997.075</v>
      </c>
      <c r="AR14" s="327">
        <f t="shared" si="3"/>
        <v>997.075</v>
      </c>
      <c r="AS14" s="327">
        <f t="shared" si="3"/>
        <v>997.075</v>
      </c>
      <c r="AT14" s="327">
        <f t="shared" si="3"/>
        <v>997.075</v>
      </c>
      <c r="AU14" s="327">
        <f t="shared" si="3"/>
        <v>997.075</v>
      </c>
      <c r="AV14" s="327">
        <f t="shared" si="3"/>
        <v>997.075</v>
      </c>
      <c r="AW14" s="327">
        <f t="shared" si="3"/>
        <v>997.075</v>
      </c>
      <c r="AX14" s="327">
        <f t="shared" si="4"/>
        <v>997.075</v>
      </c>
      <c r="AY14" s="327">
        <f aca="true" t="shared" si="5" ref="AY14:AY49">$B$1*$C$2/1000</f>
        <v>997.075</v>
      </c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  <c r="BM14" s="325"/>
      <c r="BN14" s="325"/>
      <c r="BO14" s="325"/>
      <c r="BP14" s="325"/>
      <c r="BQ14" s="325"/>
      <c r="BR14" s="325"/>
      <c r="BS14" s="325"/>
      <c r="BT14" s="325"/>
      <c r="BU14" s="325"/>
      <c r="BV14" s="325"/>
      <c r="BW14" s="325"/>
      <c r="BX14" s="325"/>
      <c r="BY14" s="325"/>
      <c r="BZ14" s="325"/>
      <c r="CA14" s="325"/>
      <c r="CB14" s="325"/>
      <c r="CC14" s="325"/>
      <c r="CD14" s="325"/>
      <c r="CE14" s="325"/>
      <c r="CF14" s="325"/>
      <c r="CG14" s="325"/>
      <c r="CH14" s="325"/>
    </row>
    <row r="15" spans="1:86" ht="15">
      <c r="A15" s="326">
        <v>42036</v>
      </c>
      <c r="B15" s="322">
        <f t="shared" si="0"/>
        <v>3323.5833333333335</v>
      </c>
      <c r="C15" s="325">
        <v>300</v>
      </c>
      <c r="D15" s="328">
        <f t="shared" si="1"/>
        <v>997.075</v>
      </c>
      <c r="E15" s="328">
        <f t="shared" si="1"/>
        <v>997.075</v>
      </c>
      <c r="F15" s="328">
        <f t="shared" si="1"/>
        <v>997.075</v>
      </c>
      <c r="G15" s="325"/>
      <c r="H15" s="325"/>
      <c r="I15" s="325"/>
      <c r="J15" s="325"/>
      <c r="K15" s="325"/>
      <c r="L15" s="325"/>
      <c r="M15" s="325"/>
      <c r="N15" s="325"/>
      <c r="O15" s="325"/>
      <c r="P15" s="325"/>
      <c r="Q15" s="323">
        <f t="shared" si="1"/>
        <v>997.075</v>
      </c>
      <c r="R15" s="323">
        <f t="shared" si="1"/>
        <v>997.075</v>
      </c>
      <c r="S15" s="323">
        <f t="shared" si="1"/>
        <v>997.075</v>
      </c>
      <c r="T15" s="323">
        <f t="shared" si="2"/>
        <v>997.075</v>
      </c>
      <c r="U15" s="323">
        <f t="shared" si="2"/>
        <v>997.075</v>
      </c>
      <c r="V15" s="323">
        <f t="shared" si="2"/>
        <v>997.075</v>
      </c>
      <c r="W15" s="323">
        <f t="shared" si="2"/>
        <v>997.075</v>
      </c>
      <c r="X15" s="323">
        <f t="shared" si="2"/>
        <v>997.075</v>
      </c>
      <c r="Y15" s="323">
        <f t="shared" si="2"/>
        <v>997.075</v>
      </c>
      <c r="Z15" s="323">
        <f t="shared" si="2"/>
        <v>997.075</v>
      </c>
      <c r="AA15" s="323">
        <f t="shared" si="2"/>
        <v>997.075</v>
      </c>
      <c r="AB15" s="323">
        <f t="shared" si="2"/>
        <v>997.075</v>
      </c>
      <c r="AC15" s="323">
        <f t="shared" si="2"/>
        <v>997.075</v>
      </c>
      <c r="AD15" s="323">
        <f t="shared" si="2"/>
        <v>997.075</v>
      </c>
      <c r="AE15" s="323">
        <f t="shared" si="2"/>
        <v>997.075</v>
      </c>
      <c r="AF15" s="323">
        <f t="shared" si="2"/>
        <v>997.075</v>
      </c>
      <c r="AG15" s="323">
        <f t="shared" si="2"/>
        <v>997.075</v>
      </c>
      <c r="AH15" s="323">
        <f t="shared" si="2"/>
        <v>997.075</v>
      </c>
      <c r="AI15" s="327">
        <f t="shared" si="2"/>
        <v>997.075</v>
      </c>
      <c r="AJ15" s="327">
        <f t="shared" si="3"/>
        <v>997.075</v>
      </c>
      <c r="AK15" s="327">
        <f t="shared" si="3"/>
        <v>997.075</v>
      </c>
      <c r="AL15" s="327">
        <f t="shared" si="3"/>
        <v>997.075</v>
      </c>
      <c r="AM15" s="327">
        <f t="shared" si="3"/>
        <v>997.075</v>
      </c>
      <c r="AN15" s="327">
        <f t="shared" si="3"/>
        <v>997.075</v>
      </c>
      <c r="AO15" s="327">
        <f t="shared" si="3"/>
        <v>997.075</v>
      </c>
      <c r="AP15" s="327">
        <f t="shared" si="3"/>
        <v>997.075</v>
      </c>
      <c r="AQ15" s="327">
        <f t="shared" si="3"/>
        <v>997.075</v>
      </c>
      <c r="AR15" s="327">
        <f t="shared" si="3"/>
        <v>997.075</v>
      </c>
      <c r="AS15" s="327">
        <f t="shared" si="3"/>
        <v>997.075</v>
      </c>
      <c r="AT15" s="327">
        <f t="shared" si="3"/>
        <v>997.075</v>
      </c>
      <c r="AU15" s="327">
        <f t="shared" si="3"/>
        <v>997.075</v>
      </c>
      <c r="AV15" s="327">
        <f t="shared" si="3"/>
        <v>997.075</v>
      </c>
      <c r="AW15" s="327">
        <f t="shared" si="3"/>
        <v>997.075</v>
      </c>
      <c r="AX15" s="327">
        <f t="shared" si="4"/>
        <v>997.075</v>
      </c>
      <c r="AY15" s="327">
        <f t="shared" si="5"/>
        <v>997.075</v>
      </c>
      <c r="AZ15" s="327">
        <f aca="true" t="shared" si="6" ref="AZ15:AZ49">$B$1*$C$2/1000</f>
        <v>997.075</v>
      </c>
      <c r="BA15" s="325"/>
      <c r="BB15" s="325"/>
      <c r="BC15" s="325"/>
      <c r="BD15" s="325"/>
      <c r="BE15" s="325"/>
      <c r="BF15" s="325"/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</row>
    <row r="16" spans="1:86" ht="15">
      <c r="A16" s="326">
        <v>42064</v>
      </c>
      <c r="B16" s="322">
        <f t="shared" si="0"/>
        <v>3323.5833333333335</v>
      </c>
      <c r="C16" s="325">
        <v>300</v>
      </c>
      <c r="D16" s="328">
        <f t="shared" si="1"/>
        <v>997.075</v>
      </c>
      <c r="E16" s="328">
        <f t="shared" si="1"/>
        <v>997.075</v>
      </c>
      <c r="F16" s="328">
        <f t="shared" si="1"/>
        <v>997.075</v>
      </c>
      <c r="G16" s="325"/>
      <c r="H16" s="325"/>
      <c r="I16" s="325"/>
      <c r="J16" s="325"/>
      <c r="K16" s="325"/>
      <c r="L16" s="325"/>
      <c r="M16" s="325"/>
      <c r="N16" s="325"/>
      <c r="O16" s="325"/>
      <c r="P16" s="325"/>
      <c r="Q16" s="325"/>
      <c r="R16" s="323">
        <f t="shared" si="1"/>
        <v>997.075</v>
      </c>
      <c r="S16" s="323">
        <f t="shared" si="1"/>
        <v>997.075</v>
      </c>
      <c r="T16" s="323">
        <f t="shared" si="2"/>
        <v>997.075</v>
      </c>
      <c r="U16" s="323">
        <f t="shared" si="2"/>
        <v>997.075</v>
      </c>
      <c r="V16" s="323">
        <f t="shared" si="2"/>
        <v>997.075</v>
      </c>
      <c r="W16" s="323">
        <f t="shared" si="2"/>
        <v>997.075</v>
      </c>
      <c r="X16" s="323">
        <f t="shared" si="2"/>
        <v>997.075</v>
      </c>
      <c r="Y16" s="323">
        <f t="shared" si="2"/>
        <v>997.075</v>
      </c>
      <c r="Z16" s="323">
        <f t="shared" si="2"/>
        <v>997.075</v>
      </c>
      <c r="AA16" s="323">
        <f t="shared" si="2"/>
        <v>997.075</v>
      </c>
      <c r="AB16" s="323">
        <f t="shared" si="2"/>
        <v>997.075</v>
      </c>
      <c r="AC16" s="323">
        <f t="shared" si="2"/>
        <v>997.075</v>
      </c>
      <c r="AD16" s="323">
        <f t="shared" si="2"/>
        <v>997.075</v>
      </c>
      <c r="AE16" s="323">
        <f t="shared" si="2"/>
        <v>997.075</v>
      </c>
      <c r="AF16" s="323">
        <f t="shared" si="2"/>
        <v>997.075</v>
      </c>
      <c r="AG16" s="323">
        <f t="shared" si="2"/>
        <v>997.075</v>
      </c>
      <c r="AH16" s="323">
        <f t="shared" si="2"/>
        <v>997.075</v>
      </c>
      <c r="AI16" s="323">
        <f t="shared" si="2"/>
        <v>997.075</v>
      </c>
      <c r="AJ16" s="327">
        <f t="shared" si="3"/>
        <v>997.075</v>
      </c>
      <c r="AK16" s="327">
        <f t="shared" si="3"/>
        <v>997.075</v>
      </c>
      <c r="AL16" s="327">
        <f t="shared" si="3"/>
        <v>997.075</v>
      </c>
      <c r="AM16" s="327">
        <f t="shared" si="3"/>
        <v>997.075</v>
      </c>
      <c r="AN16" s="327">
        <f t="shared" si="3"/>
        <v>997.075</v>
      </c>
      <c r="AO16" s="327">
        <f t="shared" si="3"/>
        <v>997.075</v>
      </c>
      <c r="AP16" s="327">
        <f t="shared" si="3"/>
        <v>997.075</v>
      </c>
      <c r="AQ16" s="327">
        <f t="shared" si="3"/>
        <v>997.075</v>
      </c>
      <c r="AR16" s="327">
        <f t="shared" si="3"/>
        <v>997.075</v>
      </c>
      <c r="AS16" s="327">
        <f t="shared" si="3"/>
        <v>997.075</v>
      </c>
      <c r="AT16" s="327">
        <f t="shared" si="3"/>
        <v>997.075</v>
      </c>
      <c r="AU16" s="327">
        <f t="shared" si="3"/>
        <v>997.075</v>
      </c>
      <c r="AV16" s="327">
        <f t="shared" si="3"/>
        <v>997.075</v>
      </c>
      <c r="AW16" s="327">
        <f t="shared" si="3"/>
        <v>997.075</v>
      </c>
      <c r="AX16" s="327">
        <f t="shared" si="4"/>
        <v>997.075</v>
      </c>
      <c r="AY16" s="327">
        <f t="shared" si="5"/>
        <v>997.075</v>
      </c>
      <c r="AZ16" s="327">
        <f t="shared" si="6"/>
        <v>997.075</v>
      </c>
      <c r="BA16" s="327">
        <f aca="true" t="shared" si="7" ref="BA16:BA49">$B$1*$C$2/1000</f>
        <v>997.075</v>
      </c>
      <c r="BB16" s="325"/>
      <c r="BC16" s="325"/>
      <c r="BD16" s="325"/>
      <c r="BE16" s="325"/>
      <c r="BF16" s="325"/>
      <c r="BG16" s="325"/>
      <c r="BH16" s="325"/>
      <c r="BI16" s="325"/>
      <c r="BJ16" s="325"/>
      <c r="BK16" s="325"/>
      <c r="BL16" s="325"/>
      <c r="BM16" s="325"/>
      <c r="BN16" s="325"/>
      <c r="BO16" s="325"/>
      <c r="BP16" s="325"/>
      <c r="BQ16" s="325"/>
      <c r="BR16" s="325"/>
      <c r="BS16" s="325"/>
      <c r="BT16" s="325"/>
      <c r="BU16" s="325"/>
      <c r="BV16" s="325"/>
      <c r="BW16" s="325"/>
      <c r="BX16" s="325"/>
      <c r="BY16" s="325"/>
      <c r="BZ16" s="325"/>
      <c r="CA16" s="325"/>
      <c r="CB16" s="325"/>
      <c r="CC16" s="325"/>
      <c r="CD16" s="325"/>
      <c r="CE16" s="325"/>
      <c r="CF16" s="325"/>
      <c r="CG16" s="325"/>
      <c r="CH16" s="325"/>
    </row>
    <row r="17" spans="1:86" ht="15">
      <c r="A17" s="326">
        <v>42095</v>
      </c>
      <c r="B17" s="322">
        <f t="shared" si="0"/>
        <v>3323.5833333333335</v>
      </c>
      <c r="C17" s="325">
        <v>300</v>
      </c>
      <c r="D17" s="328">
        <f t="shared" si="1"/>
        <v>997.075</v>
      </c>
      <c r="E17" s="328">
        <f t="shared" si="1"/>
        <v>997.075</v>
      </c>
      <c r="F17" s="328">
        <f t="shared" si="1"/>
        <v>997.075</v>
      </c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3">
        <f t="shared" si="1"/>
        <v>997.075</v>
      </c>
      <c r="T17" s="323">
        <f t="shared" si="2"/>
        <v>997.075</v>
      </c>
      <c r="U17" s="323">
        <f t="shared" si="2"/>
        <v>997.075</v>
      </c>
      <c r="V17" s="323">
        <f t="shared" si="2"/>
        <v>997.075</v>
      </c>
      <c r="W17" s="323">
        <f t="shared" si="2"/>
        <v>997.075</v>
      </c>
      <c r="X17" s="323">
        <f t="shared" si="2"/>
        <v>997.075</v>
      </c>
      <c r="Y17" s="323">
        <f t="shared" si="2"/>
        <v>997.075</v>
      </c>
      <c r="Z17" s="323">
        <f t="shared" si="2"/>
        <v>997.075</v>
      </c>
      <c r="AA17" s="323">
        <f t="shared" si="2"/>
        <v>997.075</v>
      </c>
      <c r="AB17" s="323">
        <f t="shared" si="2"/>
        <v>997.075</v>
      </c>
      <c r="AC17" s="323">
        <f t="shared" si="2"/>
        <v>997.075</v>
      </c>
      <c r="AD17" s="323">
        <f t="shared" si="2"/>
        <v>997.075</v>
      </c>
      <c r="AE17" s="323">
        <f t="shared" si="2"/>
        <v>997.075</v>
      </c>
      <c r="AF17" s="323">
        <f t="shared" si="2"/>
        <v>997.075</v>
      </c>
      <c r="AG17" s="323">
        <f t="shared" si="2"/>
        <v>997.075</v>
      </c>
      <c r="AH17" s="323">
        <f t="shared" si="2"/>
        <v>997.075</v>
      </c>
      <c r="AI17" s="323">
        <f t="shared" si="2"/>
        <v>997.075</v>
      </c>
      <c r="AJ17" s="323">
        <f t="shared" si="3"/>
        <v>997.075</v>
      </c>
      <c r="AK17" s="327">
        <f t="shared" si="3"/>
        <v>997.075</v>
      </c>
      <c r="AL17" s="327">
        <f t="shared" si="3"/>
        <v>997.075</v>
      </c>
      <c r="AM17" s="327">
        <f t="shared" si="3"/>
        <v>997.075</v>
      </c>
      <c r="AN17" s="327">
        <f t="shared" si="3"/>
        <v>997.075</v>
      </c>
      <c r="AO17" s="327">
        <f t="shared" si="3"/>
        <v>997.075</v>
      </c>
      <c r="AP17" s="327">
        <f t="shared" si="3"/>
        <v>997.075</v>
      </c>
      <c r="AQ17" s="327">
        <f t="shared" si="3"/>
        <v>997.075</v>
      </c>
      <c r="AR17" s="327">
        <f t="shared" si="3"/>
        <v>997.075</v>
      </c>
      <c r="AS17" s="327">
        <f t="shared" si="3"/>
        <v>997.075</v>
      </c>
      <c r="AT17" s="327">
        <f t="shared" si="3"/>
        <v>997.075</v>
      </c>
      <c r="AU17" s="327">
        <f t="shared" si="3"/>
        <v>997.075</v>
      </c>
      <c r="AV17" s="327">
        <f t="shared" si="3"/>
        <v>997.075</v>
      </c>
      <c r="AW17" s="327">
        <f t="shared" si="3"/>
        <v>997.075</v>
      </c>
      <c r="AX17" s="327">
        <f t="shared" si="4"/>
        <v>997.075</v>
      </c>
      <c r="AY17" s="327">
        <f t="shared" si="5"/>
        <v>997.075</v>
      </c>
      <c r="AZ17" s="327">
        <f t="shared" si="6"/>
        <v>997.075</v>
      </c>
      <c r="BA17" s="327">
        <f t="shared" si="7"/>
        <v>997.075</v>
      </c>
      <c r="BB17" s="327">
        <f aca="true" t="shared" si="8" ref="BB17:BB49">$B$1*$C$2/1000</f>
        <v>997.075</v>
      </c>
      <c r="BC17" s="325"/>
      <c r="BD17" s="325"/>
      <c r="BE17" s="325"/>
      <c r="BF17" s="325"/>
      <c r="BG17" s="325"/>
      <c r="BH17" s="325"/>
      <c r="BI17" s="325"/>
      <c r="BJ17" s="325"/>
      <c r="BK17" s="325"/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</row>
    <row r="18" spans="1:86" ht="15">
      <c r="A18" s="326">
        <v>42125</v>
      </c>
      <c r="B18" s="322">
        <f t="shared" si="0"/>
        <v>3323.5833333333335</v>
      </c>
      <c r="C18" s="325">
        <v>300</v>
      </c>
      <c r="D18" s="328">
        <f aca="true" t="shared" si="9" ref="D18:F49">$B$1*$C$2/1000</f>
        <v>997.075</v>
      </c>
      <c r="E18" s="328">
        <f t="shared" si="9"/>
        <v>997.075</v>
      </c>
      <c r="F18" s="328">
        <f t="shared" si="9"/>
        <v>997.075</v>
      </c>
      <c r="G18" s="325"/>
      <c r="H18" s="325"/>
      <c r="I18" s="325"/>
      <c r="J18" s="325"/>
      <c r="K18" s="325"/>
      <c r="L18" s="325"/>
      <c r="M18" s="325"/>
      <c r="N18" s="325"/>
      <c r="O18" s="325"/>
      <c r="P18" s="325"/>
      <c r="Q18" s="325"/>
      <c r="R18" s="325"/>
      <c r="S18" s="325"/>
      <c r="T18" s="323">
        <f aca="true" t="shared" si="10" ref="T18:AW27">$B$1*$C$2/1000</f>
        <v>997.075</v>
      </c>
      <c r="U18" s="323">
        <f t="shared" si="10"/>
        <v>997.075</v>
      </c>
      <c r="V18" s="323">
        <f t="shared" si="10"/>
        <v>997.075</v>
      </c>
      <c r="W18" s="323">
        <f t="shared" si="10"/>
        <v>997.075</v>
      </c>
      <c r="X18" s="323">
        <f t="shared" si="10"/>
        <v>997.075</v>
      </c>
      <c r="Y18" s="323">
        <f t="shared" si="10"/>
        <v>997.075</v>
      </c>
      <c r="Z18" s="323">
        <f t="shared" si="10"/>
        <v>997.075</v>
      </c>
      <c r="AA18" s="323">
        <f t="shared" si="10"/>
        <v>997.075</v>
      </c>
      <c r="AB18" s="323">
        <f t="shared" si="10"/>
        <v>997.075</v>
      </c>
      <c r="AC18" s="323">
        <f t="shared" si="10"/>
        <v>997.075</v>
      </c>
      <c r="AD18" s="323">
        <f t="shared" si="10"/>
        <v>997.075</v>
      </c>
      <c r="AE18" s="323">
        <f t="shared" si="10"/>
        <v>997.075</v>
      </c>
      <c r="AF18" s="323">
        <f t="shared" si="10"/>
        <v>997.075</v>
      </c>
      <c r="AG18" s="323">
        <f t="shared" si="10"/>
        <v>997.075</v>
      </c>
      <c r="AH18" s="323">
        <f t="shared" si="10"/>
        <v>997.075</v>
      </c>
      <c r="AI18" s="323">
        <f t="shared" si="10"/>
        <v>997.075</v>
      </c>
      <c r="AJ18" s="323">
        <f t="shared" si="10"/>
        <v>997.075</v>
      </c>
      <c r="AK18" s="323">
        <f t="shared" si="10"/>
        <v>997.075</v>
      </c>
      <c r="AL18" s="327">
        <f t="shared" si="10"/>
        <v>997.075</v>
      </c>
      <c r="AM18" s="327">
        <f t="shared" si="10"/>
        <v>997.075</v>
      </c>
      <c r="AN18" s="327">
        <f t="shared" si="10"/>
        <v>997.075</v>
      </c>
      <c r="AO18" s="327">
        <f t="shared" si="10"/>
        <v>997.075</v>
      </c>
      <c r="AP18" s="327">
        <f t="shared" si="10"/>
        <v>997.075</v>
      </c>
      <c r="AQ18" s="327">
        <f t="shared" si="10"/>
        <v>997.075</v>
      </c>
      <c r="AR18" s="327">
        <f t="shared" si="10"/>
        <v>997.075</v>
      </c>
      <c r="AS18" s="327">
        <f t="shared" si="10"/>
        <v>997.075</v>
      </c>
      <c r="AT18" s="327">
        <f t="shared" si="10"/>
        <v>997.075</v>
      </c>
      <c r="AU18" s="327">
        <f t="shared" si="10"/>
        <v>997.075</v>
      </c>
      <c r="AV18" s="327">
        <f t="shared" si="10"/>
        <v>997.075</v>
      </c>
      <c r="AW18" s="327">
        <f t="shared" si="10"/>
        <v>997.075</v>
      </c>
      <c r="AX18" s="327">
        <f t="shared" si="4"/>
        <v>997.075</v>
      </c>
      <c r="AY18" s="327">
        <f t="shared" si="5"/>
        <v>997.075</v>
      </c>
      <c r="AZ18" s="327">
        <f t="shared" si="6"/>
        <v>997.075</v>
      </c>
      <c r="BA18" s="327">
        <f t="shared" si="7"/>
        <v>997.075</v>
      </c>
      <c r="BB18" s="327">
        <f t="shared" si="8"/>
        <v>997.075</v>
      </c>
      <c r="BC18" s="327">
        <f aca="true" t="shared" si="11" ref="BC18:BC49">$B$1*$C$2/1000</f>
        <v>997.075</v>
      </c>
      <c r="BD18" s="325"/>
      <c r="BE18" s="325"/>
      <c r="BF18" s="325"/>
      <c r="BG18" s="325"/>
      <c r="BH18" s="325"/>
      <c r="BI18" s="325"/>
      <c r="BJ18" s="325"/>
      <c r="BK18" s="325"/>
      <c r="BL18" s="325"/>
      <c r="BM18" s="325"/>
      <c r="BN18" s="325"/>
      <c r="BO18" s="325"/>
      <c r="BP18" s="325"/>
      <c r="BQ18" s="325"/>
      <c r="BR18" s="325"/>
      <c r="BS18" s="325"/>
      <c r="BT18" s="325"/>
      <c r="BU18" s="325"/>
      <c r="BV18" s="325"/>
      <c r="BW18" s="325"/>
      <c r="BX18" s="325"/>
      <c r="BY18" s="325"/>
      <c r="BZ18" s="325"/>
      <c r="CA18" s="325"/>
      <c r="CB18" s="325"/>
      <c r="CC18" s="325"/>
      <c r="CD18" s="325"/>
      <c r="CE18" s="325"/>
      <c r="CF18" s="325"/>
      <c r="CG18" s="325"/>
      <c r="CH18" s="325"/>
    </row>
    <row r="19" spans="1:86" ht="15">
      <c r="A19" s="326">
        <v>42156</v>
      </c>
      <c r="B19" s="322">
        <f t="shared" si="0"/>
        <v>3323.5833333333335</v>
      </c>
      <c r="C19" s="325">
        <v>300</v>
      </c>
      <c r="D19" s="328">
        <f t="shared" si="9"/>
        <v>997.075</v>
      </c>
      <c r="E19" s="328">
        <f t="shared" si="9"/>
        <v>997.075</v>
      </c>
      <c r="F19" s="328">
        <f t="shared" si="9"/>
        <v>997.075</v>
      </c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3">
        <f t="shared" si="10"/>
        <v>997.075</v>
      </c>
      <c r="V19" s="323">
        <f t="shared" si="10"/>
        <v>997.075</v>
      </c>
      <c r="W19" s="323">
        <f t="shared" si="10"/>
        <v>997.075</v>
      </c>
      <c r="X19" s="323">
        <f t="shared" si="10"/>
        <v>997.075</v>
      </c>
      <c r="Y19" s="323">
        <f t="shared" si="10"/>
        <v>997.075</v>
      </c>
      <c r="Z19" s="323">
        <f t="shared" si="10"/>
        <v>997.075</v>
      </c>
      <c r="AA19" s="323">
        <f t="shared" si="10"/>
        <v>997.075</v>
      </c>
      <c r="AB19" s="323">
        <f t="shared" si="10"/>
        <v>997.075</v>
      </c>
      <c r="AC19" s="323">
        <f t="shared" si="10"/>
        <v>997.075</v>
      </c>
      <c r="AD19" s="323">
        <f t="shared" si="10"/>
        <v>997.075</v>
      </c>
      <c r="AE19" s="323">
        <f t="shared" si="10"/>
        <v>997.075</v>
      </c>
      <c r="AF19" s="323">
        <f t="shared" si="10"/>
        <v>997.075</v>
      </c>
      <c r="AG19" s="323">
        <f t="shared" si="10"/>
        <v>997.075</v>
      </c>
      <c r="AH19" s="323">
        <f t="shared" si="10"/>
        <v>997.075</v>
      </c>
      <c r="AI19" s="323">
        <f t="shared" si="10"/>
        <v>997.075</v>
      </c>
      <c r="AJ19" s="323">
        <f t="shared" si="10"/>
        <v>997.075</v>
      </c>
      <c r="AK19" s="323">
        <f t="shared" si="10"/>
        <v>997.075</v>
      </c>
      <c r="AL19" s="323">
        <f t="shared" si="10"/>
        <v>997.075</v>
      </c>
      <c r="AM19" s="327">
        <f t="shared" si="10"/>
        <v>997.075</v>
      </c>
      <c r="AN19" s="327">
        <f t="shared" si="10"/>
        <v>997.075</v>
      </c>
      <c r="AO19" s="327">
        <f t="shared" si="10"/>
        <v>997.075</v>
      </c>
      <c r="AP19" s="327">
        <f t="shared" si="10"/>
        <v>997.075</v>
      </c>
      <c r="AQ19" s="327">
        <f t="shared" si="10"/>
        <v>997.075</v>
      </c>
      <c r="AR19" s="327">
        <f t="shared" si="10"/>
        <v>997.075</v>
      </c>
      <c r="AS19" s="327">
        <f t="shared" si="10"/>
        <v>997.075</v>
      </c>
      <c r="AT19" s="327">
        <f t="shared" si="10"/>
        <v>997.075</v>
      </c>
      <c r="AU19" s="327">
        <f t="shared" si="10"/>
        <v>997.075</v>
      </c>
      <c r="AV19" s="327">
        <f t="shared" si="10"/>
        <v>997.075</v>
      </c>
      <c r="AW19" s="327">
        <f t="shared" si="10"/>
        <v>997.075</v>
      </c>
      <c r="AX19" s="327">
        <f t="shared" si="4"/>
        <v>997.075</v>
      </c>
      <c r="AY19" s="327">
        <f t="shared" si="5"/>
        <v>997.075</v>
      </c>
      <c r="AZ19" s="327">
        <f t="shared" si="6"/>
        <v>997.075</v>
      </c>
      <c r="BA19" s="327">
        <f t="shared" si="7"/>
        <v>997.075</v>
      </c>
      <c r="BB19" s="327">
        <f t="shared" si="8"/>
        <v>997.075</v>
      </c>
      <c r="BC19" s="327">
        <f t="shared" si="11"/>
        <v>997.075</v>
      </c>
      <c r="BD19" s="327">
        <f aca="true" t="shared" si="12" ref="BD19:BD49">$B$1*$C$2/1000</f>
        <v>997.075</v>
      </c>
      <c r="BE19" s="325"/>
      <c r="BF19" s="325"/>
      <c r="BG19" s="325"/>
      <c r="BH19" s="325"/>
      <c r="BI19" s="325"/>
      <c r="BJ19" s="325"/>
      <c r="BK19" s="325"/>
      <c r="BL19" s="325"/>
      <c r="BM19" s="325"/>
      <c r="BN19" s="325"/>
      <c r="BO19" s="325"/>
      <c r="BP19" s="325"/>
      <c r="BQ19" s="325"/>
      <c r="BR19" s="325"/>
      <c r="BS19" s="325"/>
      <c r="BT19" s="325"/>
      <c r="BU19" s="325"/>
      <c r="BV19" s="325"/>
      <c r="BW19" s="325"/>
      <c r="BX19" s="325"/>
      <c r="BY19" s="325"/>
      <c r="BZ19" s="325"/>
      <c r="CA19" s="325"/>
      <c r="CB19" s="325"/>
      <c r="CC19" s="325"/>
      <c r="CD19" s="325"/>
      <c r="CE19" s="325"/>
      <c r="CF19" s="325"/>
      <c r="CG19" s="325"/>
      <c r="CH19" s="325"/>
    </row>
    <row r="20" spans="1:86" ht="15">
      <c r="A20" s="326">
        <v>42186</v>
      </c>
      <c r="B20" s="322">
        <f t="shared" si="0"/>
        <v>3323.5833333333335</v>
      </c>
      <c r="C20" s="325">
        <v>300</v>
      </c>
      <c r="D20" s="328">
        <f t="shared" si="9"/>
        <v>997.075</v>
      </c>
      <c r="E20" s="328">
        <f t="shared" si="9"/>
        <v>997.075</v>
      </c>
      <c r="F20" s="328">
        <f t="shared" si="9"/>
        <v>997.075</v>
      </c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3">
        <f t="shared" si="10"/>
        <v>997.075</v>
      </c>
      <c r="W20" s="323">
        <f t="shared" si="10"/>
        <v>997.075</v>
      </c>
      <c r="X20" s="323">
        <f t="shared" si="10"/>
        <v>997.075</v>
      </c>
      <c r="Y20" s="323">
        <f t="shared" si="10"/>
        <v>997.075</v>
      </c>
      <c r="Z20" s="323">
        <f t="shared" si="10"/>
        <v>997.075</v>
      </c>
      <c r="AA20" s="323">
        <f t="shared" si="10"/>
        <v>997.075</v>
      </c>
      <c r="AB20" s="323">
        <f t="shared" si="10"/>
        <v>997.075</v>
      </c>
      <c r="AC20" s="323">
        <f t="shared" si="10"/>
        <v>997.075</v>
      </c>
      <c r="AD20" s="323">
        <f t="shared" si="10"/>
        <v>997.075</v>
      </c>
      <c r="AE20" s="323">
        <f t="shared" si="10"/>
        <v>997.075</v>
      </c>
      <c r="AF20" s="323">
        <f t="shared" si="10"/>
        <v>997.075</v>
      </c>
      <c r="AG20" s="323">
        <f t="shared" si="10"/>
        <v>997.075</v>
      </c>
      <c r="AH20" s="323">
        <f t="shared" si="10"/>
        <v>997.075</v>
      </c>
      <c r="AI20" s="323">
        <f t="shared" si="10"/>
        <v>997.075</v>
      </c>
      <c r="AJ20" s="323">
        <f t="shared" si="10"/>
        <v>997.075</v>
      </c>
      <c r="AK20" s="323">
        <f t="shared" si="10"/>
        <v>997.075</v>
      </c>
      <c r="AL20" s="323">
        <f t="shared" si="10"/>
        <v>997.075</v>
      </c>
      <c r="AM20" s="323">
        <f t="shared" si="10"/>
        <v>997.075</v>
      </c>
      <c r="AN20" s="327">
        <f t="shared" si="10"/>
        <v>997.075</v>
      </c>
      <c r="AO20" s="327">
        <f t="shared" si="10"/>
        <v>997.075</v>
      </c>
      <c r="AP20" s="327">
        <f t="shared" si="10"/>
        <v>997.075</v>
      </c>
      <c r="AQ20" s="327">
        <f t="shared" si="10"/>
        <v>997.075</v>
      </c>
      <c r="AR20" s="327">
        <f t="shared" si="10"/>
        <v>997.075</v>
      </c>
      <c r="AS20" s="327">
        <f t="shared" si="10"/>
        <v>997.075</v>
      </c>
      <c r="AT20" s="327">
        <f t="shared" si="10"/>
        <v>997.075</v>
      </c>
      <c r="AU20" s="327">
        <f t="shared" si="10"/>
        <v>997.075</v>
      </c>
      <c r="AV20" s="327">
        <f t="shared" si="10"/>
        <v>997.075</v>
      </c>
      <c r="AW20" s="327">
        <f t="shared" si="10"/>
        <v>997.075</v>
      </c>
      <c r="AX20" s="327">
        <f t="shared" si="4"/>
        <v>997.075</v>
      </c>
      <c r="AY20" s="327">
        <f t="shared" si="5"/>
        <v>997.075</v>
      </c>
      <c r="AZ20" s="327">
        <f t="shared" si="6"/>
        <v>997.075</v>
      </c>
      <c r="BA20" s="327">
        <f t="shared" si="7"/>
        <v>997.075</v>
      </c>
      <c r="BB20" s="327">
        <f t="shared" si="8"/>
        <v>997.075</v>
      </c>
      <c r="BC20" s="327">
        <f t="shared" si="11"/>
        <v>997.075</v>
      </c>
      <c r="BD20" s="327">
        <f t="shared" si="12"/>
        <v>997.075</v>
      </c>
      <c r="BE20" s="327">
        <f aca="true" t="shared" si="13" ref="BE20:BE49">$B$1*$C$2/1000</f>
        <v>997.075</v>
      </c>
      <c r="BF20" s="325"/>
      <c r="BG20" s="325"/>
      <c r="BH20" s="325"/>
      <c r="BI20" s="325"/>
      <c r="BJ20" s="325"/>
      <c r="BK20" s="325"/>
      <c r="BL20" s="325"/>
      <c r="BM20" s="325"/>
      <c r="BN20" s="325"/>
      <c r="BO20" s="325"/>
      <c r="BP20" s="325"/>
      <c r="BQ20" s="325"/>
      <c r="BR20" s="325"/>
      <c r="BS20" s="325"/>
      <c r="BT20" s="325"/>
      <c r="BU20" s="325"/>
      <c r="BV20" s="325"/>
      <c r="BW20" s="325"/>
      <c r="BX20" s="325"/>
      <c r="BY20" s="325"/>
      <c r="BZ20" s="325"/>
      <c r="CA20" s="325"/>
      <c r="CB20" s="325"/>
      <c r="CC20" s="325"/>
      <c r="CD20" s="325"/>
      <c r="CE20" s="325"/>
      <c r="CF20" s="325"/>
      <c r="CG20" s="325"/>
      <c r="CH20" s="325"/>
    </row>
    <row r="21" spans="1:86" ht="15">
      <c r="A21" s="326">
        <v>42217</v>
      </c>
      <c r="B21" s="322">
        <f t="shared" si="0"/>
        <v>3323.5833333333335</v>
      </c>
      <c r="C21" s="325">
        <v>300</v>
      </c>
      <c r="D21" s="328">
        <f t="shared" si="9"/>
        <v>997.075</v>
      </c>
      <c r="E21" s="328">
        <f t="shared" si="9"/>
        <v>997.075</v>
      </c>
      <c r="F21" s="328">
        <f t="shared" si="9"/>
        <v>997.075</v>
      </c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3">
        <f t="shared" si="10"/>
        <v>997.075</v>
      </c>
      <c r="X21" s="323">
        <f t="shared" si="10"/>
        <v>997.075</v>
      </c>
      <c r="Y21" s="323">
        <f t="shared" si="10"/>
        <v>997.075</v>
      </c>
      <c r="Z21" s="323">
        <f t="shared" si="10"/>
        <v>997.075</v>
      </c>
      <c r="AA21" s="323">
        <f t="shared" si="10"/>
        <v>997.075</v>
      </c>
      <c r="AB21" s="323">
        <f t="shared" si="10"/>
        <v>997.075</v>
      </c>
      <c r="AC21" s="323">
        <f t="shared" si="10"/>
        <v>997.075</v>
      </c>
      <c r="AD21" s="323">
        <f t="shared" si="10"/>
        <v>997.075</v>
      </c>
      <c r="AE21" s="323">
        <f t="shared" si="10"/>
        <v>997.075</v>
      </c>
      <c r="AF21" s="323">
        <f t="shared" si="10"/>
        <v>997.075</v>
      </c>
      <c r="AG21" s="323">
        <f t="shared" si="10"/>
        <v>997.075</v>
      </c>
      <c r="AH21" s="323">
        <f t="shared" si="10"/>
        <v>997.075</v>
      </c>
      <c r="AI21" s="323">
        <f t="shared" si="10"/>
        <v>997.075</v>
      </c>
      <c r="AJ21" s="323">
        <f t="shared" si="10"/>
        <v>997.075</v>
      </c>
      <c r="AK21" s="323">
        <f t="shared" si="10"/>
        <v>997.075</v>
      </c>
      <c r="AL21" s="323">
        <f t="shared" si="10"/>
        <v>997.075</v>
      </c>
      <c r="AM21" s="323">
        <f t="shared" si="10"/>
        <v>997.075</v>
      </c>
      <c r="AN21" s="323">
        <f t="shared" si="10"/>
        <v>997.075</v>
      </c>
      <c r="AO21" s="327">
        <f t="shared" si="10"/>
        <v>997.075</v>
      </c>
      <c r="AP21" s="327">
        <f t="shared" si="10"/>
        <v>997.075</v>
      </c>
      <c r="AQ21" s="327">
        <f t="shared" si="10"/>
        <v>997.075</v>
      </c>
      <c r="AR21" s="327">
        <f t="shared" si="10"/>
        <v>997.075</v>
      </c>
      <c r="AS21" s="327">
        <f t="shared" si="10"/>
        <v>997.075</v>
      </c>
      <c r="AT21" s="327">
        <f t="shared" si="10"/>
        <v>997.075</v>
      </c>
      <c r="AU21" s="327">
        <f t="shared" si="10"/>
        <v>997.075</v>
      </c>
      <c r="AV21" s="327">
        <f t="shared" si="10"/>
        <v>997.075</v>
      </c>
      <c r="AW21" s="327">
        <f t="shared" si="10"/>
        <v>997.075</v>
      </c>
      <c r="AX21" s="327">
        <f t="shared" si="4"/>
        <v>997.075</v>
      </c>
      <c r="AY21" s="327">
        <f t="shared" si="5"/>
        <v>997.075</v>
      </c>
      <c r="AZ21" s="327">
        <f t="shared" si="6"/>
        <v>997.075</v>
      </c>
      <c r="BA21" s="327">
        <f t="shared" si="7"/>
        <v>997.075</v>
      </c>
      <c r="BB21" s="327">
        <f t="shared" si="8"/>
        <v>997.075</v>
      </c>
      <c r="BC21" s="327">
        <f t="shared" si="11"/>
        <v>997.075</v>
      </c>
      <c r="BD21" s="327">
        <f t="shared" si="12"/>
        <v>997.075</v>
      </c>
      <c r="BE21" s="327">
        <f t="shared" si="13"/>
        <v>997.075</v>
      </c>
      <c r="BF21" s="327">
        <f aca="true" t="shared" si="14" ref="BF21:BF49">$B$1*$C$2/1000</f>
        <v>997.075</v>
      </c>
      <c r="BG21" s="325"/>
      <c r="BH21" s="325"/>
      <c r="BI21" s="325"/>
      <c r="BJ21" s="325"/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/>
      <c r="CB21" s="325"/>
      <c r="CC21" s="325"/>
      <c r="CD21" s="325"/>
      <c r="CE21" s="325"/>
      <c r="CF21" s="325"/>
      <c r="CG21" s="325"/>
      <c r="CH21" s="325"/>
    </row>
    <row r="22" spans="1:86" ht="15">
      <c r="A22" s="326">
        <v>42248</v>
      </c>
      <c r="B22" s="322">
        <f t="shared" si="0"/>
        <v>3323.5833333333335</v>
      </c>
      <c r="C22" s="325">
        <v>300</v>
      </c>
      <c r="D22" s="328">
        <f t="shared" si="9"/>
        <v>997.075</v>
      </c>
      <c r="E22" s="328">
        <f t="shared" si="9"/>
        <v>997.075</v>
      </c>
      <c r="F22" s="328">
        <f t="shared" si="9"/>
        <v>997.075</v>
      </c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3">
        <f t="shared" si="10"/>
        <v>997.075</v>
      </c>
      <c r="Y22" s="323">
        <f t="shared" si="10"/>
        <v>997.075</v>
      </c>
      <c r="Z22" s="323">
        <f t="shared" si="10"/>
        <v>997.075</v>
      </c>
      <c r="AA22" s="323">
        <f t="shared" si="10"/>
        <v>997.075</v>
      </c>
      <c r="AB22" s="323">
        <f t="shared" si="10"/>
        <v>997.075</v>
      </c>
      <c r="AC22" s="323">
        <f t="shared" si="10"/>
        <v>997.075</v>
      </c>
      <c r="AD22" s="323">
        <f t="shared" si="10"/>
        <v>997.075</v>
      </c>
      <c r="AE22" s="323">
        <f t="shared" si="10"/>
        <v>997.075</v>
      </c>
      <c r="AF22" s="323">
        <f t="shared" si="10"/>
        <v>997.075</v>
      </c>
      <c r="AG22" s="323">
        <f t="shared" si="10"/>
        <v>997.075</v>
      </c>
      <c r="AH22" s="323">
        <f t="shared" si="10"/>
        <v>997.075</v>
      </c>
      <c r="AI22" s="323">
        <f t="shared" si="10"/>
        <v>997.075</v>
      </c>
      <c r="AJ22" s="323">
        <f t="shared" si="10"/>
        <v>997.075</v>
      </c>
      <c r="AK22" s="323">
        <f t="shared" si="10"/>
        <v>997.075</v>
      </c>
      <c r="AL22" s="323">
        <f t="shared" si="10"/>
        <v>997.075</v>
      </c>
      <c r="AM22" s="323">
        <f t="shared" si="10"/>
        <v>997.075</v>
      </c>
      <c r="AN22" s="323">
        <f t="shared" si="10"/>
        <v>997.075</v>
      </c>
      <c r="AO22" s="323">
        <f t="shared" si="10"/>
        <v>997.075</v>
      </c>
      <c r="AP22" s="327">
        <f t="shared" si="10"/>
        <v>997.075</v>
      </c>
      <c r="AQ22" s="327">
        <f t="shared" si="10"/>
        <v>997.075</v>
      </c>
      <c r="AR22" s="327">
        <f t="shared" si="10"/>
        <v>997.075</v>
      </c>
      <c r="AS22" s="327">
        <f t="shared" si="10"/>
        <v>997.075</v>
      </c>
      <c r="AT22" s="327">
        <f t="shared" si="10"/>
        <v>997.075</v>
      </c>
      <c r="AU22" s="327">
        <f t="shared" si="10"/>
        <v>997.075</v>
      </c>
      <c r="AV22" s="327">
        <f t="shared" si="10"/>
        <v>997.075</v>
      </c>
      <c r="AW22" s="327">
        <f t="shared" si="10"/>
        <v>997.075</v>
      </c>
      <c r="AX22" s="327">
        <f t="shared" si="4"/>
        <v>997.075</v>
      </c>
      <c r="AY22" s="327">
        <f t="shared" si="5"/>
        <v>997.075</v>
      </c>
      <c r="AZ22" s="327">
        <f t="shared" si="6"/>
        <v>997.075</v>
      </c>
      <c r="BA22" s="327">
        <f t="shared" si="7"/>
        <v>997.075</v>
      </c>
      <c r="BB22" s="327">
        <f t="shared" si="8"/>
        <v>997.075</v>
      </c>
      <c r="BC22" s="327">
        <f t="shared" si="11"/>
        <v>997.075</v>
      </c>
      <c r="BD22" s="327">
        <f t="shared" si="12"/>
        <v>997.075</v>
      </c>
      <c r="BE22" s="327">
        <f t="shared" si="13"/>
        <v>997.075</v>
      </c>
      <c r="BF22" s="327">
        <f t="shared" si="14"/>
        <v>997.075</v>
      </c>
      <c r="BG22" s="327">
        <f aca="true" t="shared" si="15" ref="BG22:BG49">$B$1*$C$2/1000</f>
        <v>997.075</v>
      </c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</row>
    <row r="23" spans="1:86" ht="15">
      <c r="A23" s="326">
        <v>42278</v>
      </c>
      <c r="B23" s="322">
        <f t="shared" si="0"/>
        <v>3323.5833333333335</v>
      </c>
      <c r="C23" s="325">
        <v>300</v>
      </c>
      <c r="D23" s="328">
        <f t="shared" si="9"/>
        <v>997.075</v>
      </c>
      <c r="E23" s="328">
        <f t="shared" si="9"/>
        <v>997.075</v>
      </c>
      <c r="F23" s="328">
        <f t="shared" si="9"/>
        <v>997.075</v>
      </c>
      <c r="G23" s="325"/>
      <c r="H23" s="325"/>
      <c r="I23" s="325"/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3">
        <f t="shared" si="10"/>
        <v>997.075</v>
      </c>
      <c r="Z23" s="323">
        <f t="shared" si="10"/>
        <v>997.075</v>
      </c>
      <c r="AA23" s="323">
        <f t="shared" si="10"/>
        <v>997.075</v>
      </c>
      <c r="AB23" s="323">
        <f t="shared" si="10"/>
        <v>997.075</v>
      </c>
      <c r="AC23" s="323">
        <f t="shared" si="10"/>
        <v>997.075</v>
      </c>
      <c r="AD23" s="323">
        <f t="shared" si="10"/>
        <v>997.075</v>
      </c>
      <c r="AE23" s="323">
        <f t="shared" si="10"/>
        <v>997.075</v>
      </c>
      <c r="AF23" s="323">
        <f t="shared" si="10"/>
        <v>997.075</v>
      </c>
      <c r="AG23" s="323">
        <f t="shared" si="10"/>
        <v>997.075</v>
      </c>
      <c r="AH23" s="323">
        <f t="shared" si="10"/>
        <v>997.075</v>
      </c>
      <c r="AI23" s="323">
        <f t="shared" si="10"/>
        <v>997.075</v>
      </c>
      <c r="AJ23" s="323">
        <f t="shared" si="10"/>
        <v>997.075</v>
      </c>
      <c r="AK23" s="323">
        <f t="shared" si="10"/>
        <v>997.075</v>
      </c>
      <c r="AL23" s="323">
        <f t="shared" si="10"/>
        <v>997.075</v>
      </c>
      <c r="AM23" s="323">
        <f t="shared" si="10"/>
        <v>997.075</v>
      </c>
      <c r="AN23" s="323">
        <f t="shared" si="10"/>
        <v>997.075</v>
      </c>
      <c r="AO23" s="323">
        <f t="shared" si="10"/>
        <v>997.075</v>
      </c>
      <c r="AP23" s="323">
        <f t="shared" si="10"/>
        <v>997.075</v>
      </c>
      <c r="AQ23" s="327">
        <f t="shared" si="10"/>
        <v>997.075</v>
      </c>
      <c r="AR23" s="327">
        <f t="shared" si="10"/>
        <v>997.075</v>
      </c>
      <c r="AS23" s="327">
        <f t="shared" si="10"/>
        <v>997.075</v>
      </c>
      <c r="AT23" s="327">
        <f t="shared" si="10"/>
        <v>997.075</v>
      </c>
      <c r="AU23" s="327">
        <f t="shared" si="10"/>
        <v>997.075</v>
      </c>
      <c r="AV23" s="327">
        <f t="shared" si="10"/>
        <v>997.075</v>
      </c>
      <c r="AW23" s="327">
        <f t="shared" si="10"/>
        <v>997.075</v>
      </c>
      <c r="AX23" s="327">
        <f t="shared" si="4"/>
        <v>997.075</v>
      </c>
      <c r="AY23" s="327">
        <f t="shared" si="5"/>
        <v>997.075</v>
      </c>
      <c r="AZ23" s="327">
        <f t="shared" si="6"/>
        <v>997.075</v>
      </c>
      <c r="BA23" s="327">
        <f t="shared" si="7"/>
        <v>997.075</v>
      </c>
      <c r="BB23" s="327">
        <f t="shared" si="8"/>
        <v>997.075</v>
      </c>
      <c r="BC23" s="327">
        <f t="shared" si="11"/>
        <v>997.075</v>
      </c>
      <c r="BD23" s="327">
        <f t="shared" si="12"/>
        <v>997.075</v>
      </c>
      <c r="BE23" s="327">
        <f t="shared" si="13"/>
        <v>997.075</v>
      </c>
      <c r="BF23" s="327">
        <f t="shared" si="14"/>
        <v>997.075</v>
      </c>
      <c r="BG23" s="327">
        <f t="shared" si="15"/>
        <v>997.075</v>
      </c>
      <c r="BH23" s="327">
        <f aca="true" t="shared" si="16" ref="BH23:BH49">$B$1*$C$2/1000</f>
        <v>997.075</v>
      </c>
      <c r="BI23" s="325"/>
      <c r="BJ23" s="325"/>
      <c r="BK23" s="325"/>
      <c r="BL23" s="325"/>
      <c r="BM23" s="325"/>
      <c r="BN23" s="325"/>
      <c r="BO23" s="325"/>
      <c r="BP23" s="325"/>
      <c r="BQ23" s="325"/>
      <c r="BR23" s="325"/>
      <c r="BS23" s="325"/>
      <c r="BT23" s="325"/>
      <c r="BU23" s="325"/>
      <c r="BV23" s="325"/>
      <c r="BW23" s="325"/>
      <c r="BX23" s="325"/>
      <c r="BY23" s="325"/>
      <c r="BZ23" s="325"/>
      <c r="CA23" s="325"/>
      <c r="CB23" s="325"/>
      <c r="CC23" s="325"/>
      <c r="CD23" s="325"/>
      <c r="CE23" s="325"/>
      <c r="CF23" s="325"/>
      <c r="CG23" s="325"/>
      <c r="CH23" s="325"/>
    </row>
    <row r="24" spans="1:86" ht="15">
      <c r="A24" s="326">
        <v>42309</v>
      </c>
      <c r="B24" s="322">
        <f t="shared" si="0"/>
        <v>3323.5833333333335</v>
      </c>
      <c r="C24" s="325">
        <v>300</v>
      </c>
      <c r="D24" s="328">
        <f t="shared" si="9"/>
        <v>997.075</v>
      </c>
      <c r="E24" s="328">
        <f t="shared" si="9"/>
        <v>997.075</v>
      </c>
      <c r="F24" s="328">
        <f t="shared" si="9"/>
        <v>997.075</v>
      </c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3">
        <f t="shared" si="10"/>
        <v>997.075</v>
      </c>
      <c r="AA24" s="323">
        <f t="shared" si="10"/>
        <v>997.075</v>
      </c>
      <c r="AB24" s="323">
        <f t="shared" si="10"/>
        <v>997.075</v>
      </c>
      <c r="AC24" s="323">
        <f t="shared" si="10"/>
        <v>997.075</v>
      </c>
      <c r="AD24" s="323">
        <f t="shared" si="10"/>
        <v>997.075</v>
      </c>
      <c r="AE24" s="323">
        <f t="shared" si="10"/>
        <v>997.075</v>
      </c>
      <c r="AF24" s="323">
        <f t="shared" si="10"/>
        <v>997.075</v>
      </c>
      <c r="AG24" s="323">
        <f t="shared" si="10"/>
        <v>997.075</v>
      </c>
      <c r="AH24" s="323">
        <f t="shared" si="10"/>
        <v>997.075</v>
      </c>
      <c r="AI24" s="323">
        <f t="shared" si="10"/>
        <v>997.075</v>
      </c>
      <c r="AJ24" s="323">
        <f t="shared" si="10"/>
        <v>997.075</v>
      </c>
      <c r="AK24" s="323">
        <f t="shared" si="10"/>
        <v>997.075</v>
      </c>
      <c r="AL24" s="323">
        <f t="shared" si="10"/>
        <v>997.075</v>
      </c>
      <c r="AM24" s="323">
        <f t="shared" si="10"/>
        <v>997.075</v>
      </c>
      <c r="AN24" s="323">
        <f t="shared" si="10"/>
        <v>997.075</v>
      </c>
      <c r="AO24" s="323">
        <f t="shared" si="10"/>
        <v>997.075</v>
      </c>
      <c r="AP24" s="323">
        <f t="shared" si="10"/>
        <v>997.075</v>
      </c>
      <c r="AQ24" s="323">
        <f t="shared" si="10"/>
        <v>997.075</v>
      </c>
      <c r="AR24" s="327">
        <f t="shared" si="10"/>
        <v>997.075</v>
      </c>
      <c r="AS24" s="327">
        <f t="shared" si="10"/>
        <v>997.075</v>
      </c>
      <c r="AT24" s="327">
        <f t="shared" si="10"/>
        <v>997.075</v>
      </c>
      <c r="AU24" s="327">
        <f t="shared" si="10"/>
        <v>997.075</v>
      </c>
      <c r="AV24" s="327">
        <f t="shared" si="10"/>
        <v>997.075</v>
      </c>
      <c r="AW24" s="327">
        <f t="shared" si="10"/>
        <v>997.075</v>
      </c>
      <c r="AX24" s="327">
        <f t="shared" si="4"/>
        <v>997.075</v>
      </c>
      <c r="AY24" s="327">
        <f t="shared" si="5"/>
        <v>997.075</v>
      </c>
      <c r="AZ24" s="327">
        <f t="shared" si="6"/>
        <v>997.075</v>
      </c>
      <c r="BA24" s="327">
        <f t="shared" si="7"/>
        <v>997.075</v>
      </c>
      <c r="BB24" s="327">
        <f t="shared" si="8"/>
        <v>997.075</v>
      </c>
      <c r="BC24" s="327">
        <f t="shared" si="11"/>
        <v>997.075</v>
      </c>
      <c r="BD24" s="327">
        <f t="shared" si="12"/>
        <v>997.075</v>
      </c>
      <c r="BE24" s="327">
        <f t="shared" si="13"/>
        <v>997.075</v>
      </c>
      <c r="BF24" s="327">
        <f t="shared" si="14"/>
        <v>997.075</v>
      </c>
      <c r="BG24" s="327">
        <f t="shared" si="15"/>
        <v>997.075</v>
      </c>
      <c r="BH24" s="327">
        <f t="shared" si="16"/>
        <v>997.075</v>
      </c>
      <c r="BI24" s="327">
        <f aca="true" t="shared" si="17" ref="BI24:BI49">$B$1*$C$2/1000</f>
        <v>997.075</v>
      </c>
      <c r="BJ24" s="325"/>
      <c r="BK24" s="325"/>
      <c r="BL24" s="325"/>
      <c r="BM24" s="325"/>
      <c r="BN24" s="325"/>
      <c r="BO24" s="325"/>
      <c r="BP24" s="325"/>
      <c r="BQ24" s="325"/>
      <c r="BR24" s="325"/>
      <c r="BS24" s="325"/>
      <c r="BT24" s="325"/>
      <c r="BU24" s="325"/>
      <c r="BV24" s="325"/>
      <c r="BW24" s="325"/>
      <c r="BX24" s="325"/>
      <c r="BY24" s="325"/>
      <c r="BZ24" s="325"/>
      <c r="CA24" s="325"/>
      <c r="CB24" s="325"/>
      <c r="CC24" s="325"/>
      <c r="CD24" s="325"/>
      <c r="CE24" s="325"/>
      <c r="CF24" s="325"/>
      <c r="CG24" s="325"/>
      <c r="CH24" s="325"/>
    </row>
    <row r="25" spans="1:86" ht="15">
      <c r="A25" s="326">
        <v>42339</v>
      </c>
      <c r="B25" s="322">
        <f t="shared" si="0"/>
        <v>3323.5833333333335</v>
      </c>
      <c r="C25" s="325">
        <v>300</v>
      </c>
      <c r="D25" s="328">
        <f t="shared" si="9"/>
        <v>997.075</v>
      </c>
      <c r="E25" s="328">
        <f t="shared" si="9"/>
        <v>997.075</v>
      </c>
      <c r="F25" s="328">
        <f t="shared" si="9"/>
        <v>997.075</v>
      </c>
      <c r="G25" s="325"/>
      <c r="H25" s="325"/>
      <c r="I25" s="325"/>
      <c r="J25" s="325"/>
      <c r="K25" s="325"/>
      <c r="L25" s="325"/>
      <c r="M25" s="325"/>
      <c r="N25" s="325"/>
      <c r="O25" s="325"/>
      <c r="P25" s="325"/>
      <c r="Q25" s="325"/>
      <c r="R25" s="325"/>
      <c r="S25" s="325"/>
      <c r="T25" s="325"/>
      <c r="U25" s="325"/>
      <c r="V25" s="325"/>
      <c r="W25" s="325"/>
      <c r="X25" s="325"/>
      <c r="Y25" s="325"/>
      <c r="Z25" s="325"/>
      <c r="AA25" s="323">
        <f t="shared" si="10"/>
        <v>997.075</v>
      </c>
      <c r="AB25" s="323">
        <f t="shared" si="10"/>
        <v>997.075</v>
      </c>
      <c r="AC25" s="323">
        <f t="shared" si="10"/>
        <v>997.075</v>
      </c>
      <c r="AD25" s="323">
        <f t="shared" si="10"/>
        <v>997.075</v>
      </c>
      <c r="AE25" s="323">
        <f t="shared" si="10"/>
        <v>997.075</v>
      </c>
      <c r="AF25" s="323">
        <f t="shared" si="10"/>
        <v>997.075</v>
      </c>
      <c r="AG25" s="323">
        <f t="shared" si="10"/>
        <v>997.075</v>
      </c>
      <c r="AH25" s="323">
        <f t="shared" si="10"/>
        <v>997.075</v>
      </c>
      <c r="AI25" s="323">
        <f t="shared" si="10"/>
        <v>997.075</v>
      </c>
      <c r="AJ25" s="323">
        <f t="shared" si="10"/>
        <v>997.075</v>
      </c>
      <c r="AK25" s="323">
        <f t="shared" si="10"/>
        <v>997.075</v>
      </c>
      <c r="AL25" s="323">
        <f t="shared" si="10"/>
        <v>997.075</v>
      </c>
      <c r="AM25" s="323">
        <f t="shared" si="10"/>
        <v>997.075</v>
      </c>
      <c r="AN25" s="323">
        <f t="shared" si="10"/>
        <v>997.075</v>
      </c>
      <c r="AO25" s="323">
        <f t="shared" si="10"/>
        <v>997.075</v>
      </c>
      <c r="AP25" s="323">
        <f t="shared" si="10"/>
        <v>997.075</v>
      </c>
      <c r="AQ25" s="323">
        <f t="shared" si="10"/>
        <v>997.075</v>
      </c>
      <c r="AR25" s="323">
        <f t="shared" si="10"/>
        <v>997.075</v>
      </c>
      <c r="AS25" s="327">
        <f t="shared" si="10"/>
        <v>997.075</v>
      </c>
      <c r="AT25" s="327">
        <f t="shared" si="10"/>
        <v>997.075</v>
      </c>
      <c r="AU25" s="327">
        <f t="shared" si="10"/>
        <v>997.075</v>
      </c>
      <c r="AV25" s="327">
        <f t="shared" si="10"/>
        <v>997.075</v>
      </c>
      <c r="AW25" s="327">
        <f t="shared" si="10"/>
        <v>997.075</v>
      </c>
      <c r="AX25" s="327">
        <f t="shared" si="4"/>
        <v>997.075</v>
      </c>
      <c r="AY25" s="327">
        <f t="shared" si="5"/>
        <v>997.075</v>
      </c>
      <c r="AZ25" s="327">
        <f t="shared" si="6"/>
        <v>997.075</v>
      </c>
      <c r="BA25" s="327">
        <f t="shared" si="7"/>
        <v>997.075</v>
      </c>
      <c r="BB25" s="327">
        <f t="shared" si="8"/>
        <v>997.075</v>
      </c>
      <c r="BC25" s="327">
        <f t="shared" si="11"/>
        <v>997.075</v>
      </c>
      <c r="BD25" s="327">
        <f t="shared" si="12"/>
        <v>997.075</v>
      </c>
      <c r="BE25" s="327">
        <f t="shared" si="13"/>
        <v>997.075</v>
      </c>
      <c r="BF25" s="327">
        <f t="shared" si="14"/>
        <v>997.075</v>
      </c>
      <c r="BG25" s="327">
        <f t="shared" si="15"/>
        <v>997.075</v>
      </c>
      <c r="BH25" s="327">
        <f t="shared" si="16"/>
        <v>997.075</v>
      </c>
      <c r="BI25" s="327">
        <f t="shared" si="17"/>
        <v>997.075</v>
      </c>
      <c r="BJ25" s="327">
        <f aca="true" t="shared" si="18" ref="BJ25:BJ49">$B$1*$C$2/1000</f>
        <v>997.075</v>
      </c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</row>
    <row r="26" spans="1:86" ht="15">
      <c r="A26" s="326">
        <v>42370</v>
      </c>
      <c r="B26" s="322">
        <f t="shared" si="0"/>
        <v>3323.5833333333335</v>
      </c>
      <c r="C26" s="325">
        <v>300</v>
      </c>
      <c r="D26" s="328">
        <f t="shared" si="9"/>
        <v>997.075</v>
      </c>
      <c r="E26" s="328">
        <f t="shared" si="9"/>
        <v>997.075</v>
      </c>
      <c r="F26" s="328">
        <f t="shared" si="9"/>
        <v>997.075</v>
      </c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3">
        <f t="shared" si="10"/>
        <v>997.075</v>
      </c>
      <c r="AC26" s="323">
        <f t="shared" si="10"/>
        <v>997.075</v>
      </c>
      <c r="AD26" s="323">
        <f t="shared" si="10"/>
        <v>997.075</v>
      </c>
      <c r="AE26" s="323">
        <f t="shared" si="10"/>
        <v>997.075</v>
      </c>
      <c r="AF26" s="323">
        <f t="shared" si="10"/>
        <v>997.075</v>
      </c>
      <c r="AG26" s="323">
        <f t="shared" si="10"/>
        <v>997.075</v>
      </c>
      <c r="AH26" s="323">
        <f t="shared" si="10"/>
        <v>997.075</v>
      </c>
      <c r="AI26" s="323">
        <f t="shared" si="10"/>
        <v>997.075</v>
      </c>
      <c r="AJ26" s="323">
        <f t="shared" si="10"/>
        <v>997.075</v>
      </c>
      <c r="AK26" s="323">
        <f t="shared" si="10"/>
        <v>997.075</v>
      </c>
      <c r="AL26" s="323">
        <f t="shared" si="10"/>
        <v>997.075</v>
      </c>
      <c r="AM26" s="323">
        <f t="shared" si="10"/>
        <v>997.075</v>
      </c>
      <c r="AN26" s="323">
        <f t="shared" si="10"/>
        <v>997.075</v>
      </c>
      <c r="AO26" s="323">
        <f t="shared" si="10"/>
        <v>997.075</v>
      </c>
      <c r="AP26" s="323">
        <f t="shared" si="10"/>
        <v>997.075</v>
      </c>
      <c r="AQ26" s="323">
        <f t="shared" si="10"/>
        <v>997.075</v>
      </c>
      <c r="AR26" s="323">
        <f t="shared" si="10"/>
        <v>997.075</v>
      </c>
      <c r="AS26" s="323">
        <f t="shared" si="10"/>
        <v>997.075</v>
      </c>
      <c r="AT26" s="327">
        <f t="shared" si="10"/>
        <v>997.075</v>
      </c>
      <c r="AU26" s="327">
        <f t="shared" si="10"/>
        <v>997.075</v>
      </c>
      <c r="AV26" s="327">
        <f t="shared" si="10"/>
        <v>997.075</v>
      </c>
      <c r="AW26" s="327">
        <f t="shared" si="10"/>
        <v>997.075</v>
      </c>
      <c r="AX26" s="327">
        <f t="shared" si="4"/>
        <v>997.075</v>
      </c>
      <c r="AY26" s="327">
        <f t="shared" si="5"/>
        <v>997.075</v>
      </c>
      <c r="AZ26" s="327">
        <f t="shared" si="6"/>
        <v>997.075</v>
      </c>
      <c r="BA26" s="327">
        <f t="shared" si="7"/>
        <v>997.075</v>
      </c>
      <c r="BB26" s="327">
        <f t="shared" si="8"/>
        <v>997.075</v>
      </c>
      <c r="BC26" s="327">
        <f t="shared" si="11"/>
        <v>997.075</v>
      </c>
      <c r="BD26" s="327">
        <f t="shared" si="12"/>
        <v>997.075</v>
      </c>
      <c r="BE26" s="327">
        <f t="shared" si="13"/>
        <v>997.075</v>
      </c>
      <c r="BF26" s="327">
        <f t="shared" si="14"/>
        <v>997.075</v>
      </c>
      <c r="BG26" s="327">
        <f t="shared" si="15"/>
        <v>997.075</v>
      </c>
      <c r="BH26" s="327">
        <f t="shared" si="16"/>
        <v>997.075</v>
      </c>
      <c r="BI26" s="327">
        <f t="shared" si="17"/>
        <v>997.075</v>
      </c>
      <c r="BJ26" s="327">
        <f t="shared" si="18"/>
        <v>997.075</v>
      </c>
      <c r="BK26" s="327">
        <f aca="true" t="shared" si="19" ref="BK26:BK49">$B$1*$C$2/1000</f>
        <v>997.075</v>
      </c>
      <c r="BL26" s="325"/>
      <c r="BM26" s="325"/>
      <c r="BN26" s="325"/>
      <c r="BO26" s="325"/>
      <c r="BP26" s="325"/>
      <c r="BQ26" s="325"/>
      <c r="BR26" s="325"/>
      <c r="BS26" s="325"/>
      <c r="BT26" s="325"/>
      <c r="BU26" s="325"/>
      <c r="BV26" s="325"/>
      <c r="BW26" s="325"/>
      <c r="BX26" s="325"/>
      <c r="BY26" s="325"/>
      <c r="BZ26" s="325"/>
      <c r="CA26" s="325"/>
      <c r="CB26" s="325"/>
      <c r="CC26" s="325"/>
      <c r="CD26" s="325"/>
      <c r="CE26" s="325"/>
      <c r="CF26" s="325"/>
      <c r="CG26" s="325"/>
      <c r="CH26" s="325"/>
    </row>
    <row r="27" spans="1:86" ht="15">
      <c r="A27" s="326">
        <v>42401</v>
      </c>
      <c r="B27" s="322">
        <f t="shared" si="0"/>
        <v>3323.5833333333335</v>
      </c>
      <c r="C27" s="325">
        <v>300</v>
      </c>
      <c r="D27" s="328">
        <f t="shared" si="9"/>
        <v>997.075</v>
      </c>
      <c r="E27" s="328">
        <f t="shared" si="9"/>
        <v>997.075</v>
      </c>
      <c r="F27" s="328">
        <f t="shared" si="9"/>
        <v>997.075</v>
      </c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3">
        <f t="shared" si="10"/>
        <v>997.075</v>
      </c>
      <c r="AD27" s="323">
        <f t="shared" si="10"/>
        <v>997.075</v>
      </c>
      <c r="AE27" s="323">
        <f t="shared" si="10"/>
        <v>997.075</v>
      </c>
      <c r="AF27" s="323">
        <f t="shared" si="10"/>
        <v>997.075</v>
      </c>
      <c r="AG27" s="323">
        <f t="shared" si="10"/>
        <v>997.075</v>
      </c>
      <c r="AH27" s="323">
        <f t="shared" si="10"/>
        <v>997.075</v>
      </c>
      <c r="AI27" s="323">
        <f t="shared" si="10"/>
        <v>997.075</v>
      </c>
      <c r="AJ27" s="323">
        <f t="shared" si="10"/>
        <v>997.075</v>
      </c>
      <c r="AK27" s="323">
        <f t="shared" si="10"/>
        <v>997.075</v>
      </c>
      <c r="AL27" s="323">
        <f t="shared" si="10"/>
        <v>997.075</v>
      </c>
      <c r="AM27" s="323">
        <f t="shared" si="10"/>
        <v>997.075</v>
      </c>
      <c r="AN27" s="323">
        <f t="shared" si="10"/>
        <v>997.075</v>
      </c>
      <c r="AO27" s="323">
        <f t="shared" si="10"/>
        <v>997.075</v>
      </c>
      <c r="AP27" s="323">
        <f t="shared" si="10"/>
        <v>997.075</v>
      </c>
      <c r="AQ27" s="323">
        <f t="shared" si="10"/>
        <v>997.075</v>
      </c>
      <c r="AR27" s="323">
        <f t="shared" si="10"/>
        <v>997.075</v>
      </c>
      <c r="AS27" s="323">
        <f t="shared" si="10"/>
        <v>997.075</v>
      </c>
      <c r="AT27" s="323">
        <f t="shared" si="10"/>
        <v>997.075</v>
      </c>
      <c r="AU27" s="327">
        <f t="shared" si="10"/>
        <v>997.075</v>
      </c>
      <c r="AV27" s="327">
        <f t="shared" si="10"/>
        <v>997.075</v>
      </c>
      <c r="AW27" s="327">
        <f t="shared" si="10"/>
        <v>997.075</v>
      </c>
      <c r="AX27" s="327">
        <f t="shared" si="4"/>
        <v>997.075</v>
      </c>
      <c r="AY27" s="327">
        <f t="shared" si="5"/>
        <v>997.075</v>
      </c>
      <c r="AZ27" s="327">
        <f t="shared" si="6"/>
        <v>997.075</v>
      </c>
      <c r="BA27" s="327">
        <f t="shared" si="7"/>
        <v>997.075</v>
      </c>
      <c r="BB27" s="327">
        <f t="shared" si="8"/>
        <v>997.075</v>
      </c>
      <c r="BC27" s="327">
        <f t="shared" si="11"/>
        <v>997.075</v>
      </c>
      <c r="BD27" s="327">
        <f t="shared" si="12"/>
        <v>997.075</v>
      </c>
      <c r="BE27" s="327">
        <f t="shared" si="13"/>
        <v>997.075</v>
      </c>
      <c r="BF27" s="327">
        <f t="shared" si="14"/>
        <v>997.075</v>
      </c>
      <c r="BG27" s="327">
        <f t="shared" si="15"/>
        <v>997.075</v>
      </c>
      <c r="BH27" s="327">
        <f t="shared" si="16"/>
        <v>997.075</v>
      </c>
      <c r="BI27" s="327">
        <f t="shared" si="17"/>
        <v>997.075</v>
      </c>
      <c r="BJ27" s="327">
        <f t="shared" si="18"/>
        <v>997.075</v>
      </c>
      <c r="BK27" s="327">
        <f t="shared" si="19"/>
        <v>997.075</v>
      </c>
      <c r="BL27" s="327">
        <f aca="true" t="shared" si="20" ref="BL27:BL49">$B$1*$C$2/1000</f>
        <v>997.075</v>
      </c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</row>
    <row r="28" spans="1:86" ht="15">
      <c r="A28" s="326">
        <v>42430</v>
      </c>
      <c r="B28" s="322">
        <f t="shared" si="0"/>
        <v>3323.5833333333335</v>
      </c>
      <c r="C28" s="325">
        <v>300</v>
      </c>
      <c r="D28" s="328">
        <f t="shared" si="9"/>
        <v>997.075</v>
      </c>
      <c r="E28" s="328">
        <f t="shared" si="9"/>
        <v>997.075</v>
      </c>
      <c r="F28" s="328">
        <f t="shared" si="9"/>
        <v>997.075</v>
      </c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3">
        <f aca="true" t="shared" si="21" ref="AD28:AW43">$B$1*$C$2/1000</f>
        <v>997.075</v>
      </c>
      <c r="AE28" s="323">
        <f t="shared" si="21"/>
        <v>997.075</v>
      </c>
      <c r="AF28" s="323">
        <f t="shared" si="21"/>
        <v>997.075</v>
      </c>
      <c r="AG28" s="323">
        <f t="shared" si="21"/>
        <v>997.075</v>
      </c>
      <c r="AH28" s="323">
        <f t="shared" si="21"/>
        <v>997.075</v>
      </c>
      <c r="AI28" s="323">
        <f t="shared" si="21"/>
        <v>997.075</v>
      </c>
      <c r="AJ28" s="323">
        <f t="shared" si="21"/>
        <v>997.075</v>
      </c>
      <c r="AK28" s="323">
        <f t="shared" si="21"/>
        <v>997.075</v>
      </c>
      <c r="AL28" s="323">
        <f t="shared" si="21"/>
        <v>997.075</v>
      </c>
      <c r="AM28" s="323">
        <f t="shared" si="21"/>
        <v>997.075</v>
      </c>
      <c r="AN28" s="323">
        <f t="shared" si="21"/>
        <v>997.075</v>
      </c>
      <c r="AO28" s="323">
        <f t="shared" si="21"/>
        <v>997.075</v>
      </c>
      <c r="AP28" s="323">
        <f t="shared" si="21"/>
        <v>997.075</v>
      </c>
      <c r="AQ28" s="323">
        <f t="shared" si="21"/>
        <v>997.075</v>
      </c>
      <c r="AR28" s="323">
        <f t="shared" si="21"/>
        <v>997.075</v>
      </c>
      <c r="AS28" s="323">
        <f t="shared" si="21"/>
        <v>997.075</v>
      </c>
      <c r="AT28" s="323">
        <f t="shared" si="21"/>
        <v>997.075</v>
      </c>
      <c r="AU28" s="323">
        <f t="shared" si="21"/>
        <v>997.075</v>
      </c>
      <c r="AV28" s="327">
        <f t="shared" si="21"/>
        <v>997.075</v>
      </c>
      <c r="AW28" s="327">
        <f t="shared" si="21"/>
        <v>997.075</v>
      </c>
      <c r="AX28" s="327">
        <f t="shared" si="4"/>
        <v>997.075</v>
      </c>
      <c r="AY28" s="327">
        <f t="shared" si="5"/>
        <v>997.075</v>
      </c>
      <c r="AZ28" s="327">
        <f t="shared" si="6"/>
        <v>997.075</v>
      </c>
      <c r="BA28" s="327">
        <f t="shared" si="7"/>
        <v>997.075</v>
      </c>
      <c r="BB28" s="327">
        <f t="shared" si="8"/>
        <v>997.075</v>
      </c>
      <c r="BC28" s="327">
        <f t="shared" si="11"/>
        <v>997.075</v>
      </c>
      <c r="BD28" s="327">
        <f t="shared" si="12"/>
        <v>997.075</v>
      </c>
      <c r="BE28" s="327">
        <f t="shared" si="13"/>
        <v>997.075</v>
      </c>
      <c r="BF28" s="327">
        <f t="shared" si="14"/>
        <v>997.075</v>
      </c>
      <c r="BG28" s="327">
        <f t="shared" si="15"/>
        <v>997.075</v>
      </c>
      <c r="BH28" s="327">
        <f t="shared" si="16"/>
        <v>997.075</v>
      </c>
      <c r="BI28" s="327">
        <f t="shared" si="17"/>
        <v>997.075</v>
      </c>
      <c r="BJ28" s="327">
        <f t="shared" si="18"/>
        <v>997.075</v>
      </c>
      <c r="BK28" s="327">
        <f t="shared" si="19"/>
        <v>997.075</v>
      </c>
      <c r="BL28" s="327">
        <f t="shared" si="20"/>
        <v>997.075</v>
      </c>
      <c r="BM28" s="327">
        <f aca="true" t="shared" si="22" ref="BM28:BM49">$B$1*$C$2/1000</f>
        <v>997.075</v>
      </c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</row>
    <row r="29" spans="1:86" ht="15">
      <c r="A29" s="326">
        <v>42461</v>
      </c>
      <c r="B29" s="322">
        <f t="shared" si="0"/>
        <v>3323.5833333333335</v>
      </c>
      <c r="C29" s="325">
        <v>300</v>
      </c>
      <c r="D29" s="328">
        <f t="shared" si="9"/>
        <v>997.075</v>
      </c>
      <c r="E29" s="328">
        <f t="shared" si="9"/>
        <v>997.075</v>
      </c>
      <c r="F29" s="328">
        <f t="shared" si="9"/>
        <v>997.075</v>
      </c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3">
        <f t="shared" si="21"/>
        <v>997.075</v>
      </c>
      <c r="AF29" s="323">
        <f t="shared" si="21"/>
        <v>997.075</v>
      </c>
      <c r="AG29" s="323">
        <f t="shared" si="21"/>
        <v>997.075</v>
      </c>
      <c r="AH29" s="323">
        <f t="shared" si="21"/>
        <v>997.075</v>
      </c>
      <c r="AI29" s="323">
        <f t="shared" si="21"/>
        <v>997.075</v>
      </c>
      <c r="AJ29" s="323">
        <f t="shared" si="21"/>
        <v>997.075</v>
      </c>
      <c r="AK29" s="323">
        <f t="shared" si="21"/>
        <v>997.075</v>
      </c>
      <c r="AL29" s="323">
        <f t="shared" si="21"/>
        <v>997.075</v>
      </c>
      <c r="AM29" s="323">
        <f t="shared" si="21"/>
        <v>997.075</v>
      </c>
      <c r="AN29" s="323">
        <f t="shared" si="21"/>
        <v>997.075</v>
      </c>
      <c r="AO29" s="323">
        <f t="shared" si="21"/>
        <v>997.075</v>
      </c>
      <c r="AP29" s="323">
        <f t="shared" si="21"/>
        <v>997.075</v>
      </c>
      <c r="AQ29" s="323">
        <f t="shared" si="21"/>
        <v>997.075</v>
      </c>
      <c r="AR29" s="323">
        <f t="shared" si="21"/>
        <v>997.075</v>
      </c>
      <c r="AS29" s="323">
        <f t="shared" si="21"/>
        <v>997.075</v>
      </c>
      <c r="AT29" s="323">
        <f t="shared" si="21"/>
        <v>997.075</v>
      </c>
      <c r="AU29" s="323">
        <f t="shared" si="21"/>
        <v>997.075</v>
      </c>
      <c r="AV29" s="323">
        <f t="shared" si="21"/>
        <v>997.075</v>
      </c>
      <c r="AW29" s="327">
        <f t="shared" si="21"/>
        <v>997.075</v>
      </c>
      <c r="AX29" s="327">
        <f t="shared" si="4"/>
        <v>997.075</v>
      </c>
      <c r="AY29" s="327">
        <f t="shared" si="5"/>
        <v>997.075</v>
      </c>
      <c r="AZ29" s="327">
        <f t="shared" si="6"/>
        <v>997.075</v>
      </c>
      <c r="BA29" s="327">
        <f t="shared" si="7"/>
        <v>997.075</v>
      </c>
      <c r="BB29" s="327">
        <f t="shared" si="8"/>
        <v>997.075</v>
      </c>
      <c r="BC29" s="327">
        <f t="shared" si="11"/>
        <v>997.075</v>
      </c>
      <c r="BD29" s="327">
        <f t="shared" si="12"/>
        <v>997.075</v>
      </c>
      <c r="BE29" s="327">
        <f t="shared" si="13"/>
        <v>997.075</v>
      </c>
      <c r="BF29" s="327">
        <f t="shared" si="14"/>
        <v>997.075</v>
      </c>
      <c r="BG29" s="327">
        <f t="shared" si="15"/>
        <v>997.075</v>
      </c>
      <c r="BH29" s="327">
        <f t="shared" si="16"/>
        <v>997.075</v>
      </c>
      <c r="BI29" s="327">
        <f t="shared" si="17"/>
        <v>997.075</v>
      </c>
      <c r="BJ29" s="327">
        <f t="shared" si="18"/>
        <v>997.075</v>
      </c>
      <c r="BK29" s="327">
        <f t="shared" si="19"/>
        <v>997.075</v>
      </c>
      <c r="BL29" s="327">
        <f t="shared" si="20"/>
        <v>997.075</v>
      </c>
      <c r="BM29" s="327">
        <f t="shared" si="22"/>
        <v>997.075</v>
      </c>
      <c r="BN29" s="327">
        <f aca="true" t="shared" si="23" ref="BN29:CC49">$B$1*$C$2/1000</f>
        <v>997.075</v>
      </c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</row>
    <row r="30" spans="1:86" ht="15">
      <c r="A30" s="326">
        <v>42491</v>
      </c>
      <c r="B30" s="322">
        <f t="shared" si="0"/>
        <v>3323.5833333333335</v>
      </c>
      <c r="C30" s="325">
        <v>300</v>
      </c>
      <c r="D30" s="328">
        <f t="shared" si="9"/>
        <v>997.075</v>
      </c>
      <c r="E30" s="328">
        <f t="shared" si="9"/>
        <v>997.075</v>
      </c>
      <c r="F30" s="328">
        <f t="shared" si="9"/>
        <v>997.075</v>
      </c>
      <c r="G30" s="325"/>
      <c r="H30" s="325"/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325"/>
      <c r="AC30" s="325"/>
      <c r="AD30" s="325"/>
      <c r="AE30" s="325"/>
      <c r="AF30" s="323">
        <f t="shared" si="21"/>
        <v>997.075</v>
      </c>
      <c r="AG30" s="323">
        <f t="shared" si="21"/>
        <v>997.075</v>
      </c>
      <c r="AH30" s="323">
        <f t="shared" si="21"/>
        <v>997.075</v>
      </c>
      <c r="AI30" s="323">
        <f t="shared" si="21"/>
        <v>997.075</v>
      </c>
      <c r="AJ30" s="323">
        <f t="shared" si="21"/>
        <v>997.075</v>
      </c>
      <c r="AK30" s="323">
        <f t="shared" si="21"/>
        <v>997.075</v>
      </c>
      <c r="AL30" s="323">
        <f t="shared" si="21"/>
        <v>997.075</v>
      </c>
      <c r="AM30" s="323">
        <f t="shared" si="21"/>
        <v>997.075</v>
      </c>
      <c r="AN30" s="323">
        <f t="shared" si="21"/>
        <v>997.075</v>
      </c>
      <c r="AO30" s="323">
        <f t="shared" si="21"/>
        <v>997.075</v>
      </c>
      <c r="AP30" s="323">
        <f t="shared" si="21"/>
        <v>997.075</v>
      </c>
      <c r="AQ30" s="323">
        <f t="shared" si="21"/>
        <v>997.075</v>
      </c>
      <c r="AR30" s="323">
        <f t="shared" si="21"/>
        <v>997.075</v>
      </c>
      <c r="AS30" s="323">
        <f t="shared" si="21"/>
        <v>997.075</v>
      </c>
      <c r="AT30" s="323">
        <f t="shared" si="21"/>
        <v>997.075</v>
      </c>
      <c r="AU30" s="323">
        <f t="shared" si="21"/>
        <v>997.075</v>
      </c>
      <c r="AV30" s="323">
        <f t="shared" si="21"/>
        <v>997.075</v>
      </c>
      <c r="AW30" s="323">
        <f t="shared" si="21"/>
        <v>997.075</v>
      </c>
      <c r="AX30" s="327">
        <f t="shared" si="4"/>
        <v>997.075</v>
      </c>
      <c r="AY30" s="327">
        <f t="shared" si="5"/>
        <v>997.075</v>
      </c>
      <c r="AZ30" s="327">
        <f t="shared" si="6"/>
        <v>997.075</v>
      </c>
      <c r="BA30" s="327">
        <f t="shared" si="7"/>
        <v>997.075</v>
      </c>
      <c r="BB30" s="327">
        <f t="shared" si="8"/>
        <v>997.075</v>
      </c>
      <c r="BC30" s="327">
        <f t="shared" si="11"/>
        <v>997.075</v>
      </c>
      <c r="BD30" s="327">
        <f t="shared" si="12"/>
        <v>997.075</v>
      </c>
      <c r="BE30" s="327">
        <f t="shared" si="13"/>
        <v>997.075</v>
      </c>
      <c r="BF30" s="327">
        <f t="shared" si="14"/>
        <v>997.075</v>
      </c>
      <c r="BG30" s="327">
        <f t="shared" si="15"/>
        <v>997.075</v>
      </c>
      <c r="BH30" s="327">
        <f t="shared" si="16"/>
        <v>997.075</v>
      </c>
      <c r="BI30" s="327">
        <f t="shared" si="17"/>
        <v>997.075</v>
      </c>
      <c r="BJ30" s="327">
        <f t="shared" si="18"/>
        <v>997.075</v>
      </c>
      <c r="BK30" s="327">
        <f t="shared" si="19"/>
        <v>997.075</v>
      </c>
      <c r="BL30" s="327">
        <f t="shared" si="20"/>
        <v>997.075</v>
      </c>
      <c r="BM30" s="327">
        <f t="shared" si="22"/>
        <v>997.075</v>
      </c>
      <c r="BN30" s="327">
        <f t="shared" si="23"/>
        <v>997.075</v>
      </c>
      <c r="BO30" s="327">
        <f t="shared" si="23"/>
        <v>997.075</v>
      </c>
      <c r="BP30" s="325"/>
      <c r="BQ30" s="325"/>
      <c r="BR30" s="325"/>
      <c r="BS30" s="325"/>
      <c r="BT30" s="325"/>
      <c r="BU30" s="325"/>
      <c r="BV30" s="325"/>
      <c r="BW30" s="325"/>
      <c r="BX30" s="325"/>
      <c r="BY30" s="325"/>
      <c r="BZ30" s="325"/>
      <c r="CA30" s="325"/>
      <c r="CB30" s="325"/>
      <c r="CC30" s="325"/>
      <c r="CD30" s="325"/>
      <c r="CE30" s="325"/>
      <c r="CF30" s="325"/>
      <c r="CG30" s="325"/>
      <c r="CH30" s="325"/>
    </row>
    <row r="31" spans="1:86" ht="15">
      <c r="A31" s="326">
        <v>42522</v>
      </c>
      <c r="B31" s="322">
        <f t="shared" si="0"/>
        <v>3323.5833333333335</v>
      </c>
      <c r="C31" s="325">
        <v>300</v>
      </c>
      <c r="D31" s="328">
        <f t="shared" si="9"/>
        <v>997.075</v>
      </c>
      <c r="E31" s="328">
        <f t="shared" si="9"/>
        <v>997.075</v>
      </c>
      <c r="F31" s="328">
        <f t="shared" si="9"/>
        <v>997.075</v>
      </c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325"/>
      <c r="AC31" s="325"/>
      <c r="AD31" s="325"/>
      <c r="AE31" s="325"/>
      <c r="AF31" s="325"/>
      <c r="AG31" s="323">
        <f t="shared" si="21"/>
        <v>997.075</v>
      </c>
      <c r="AH31" s="323">
        <f t="shared" si="21"/>
        <v>997.075</v>
      </c>
      <c r="AI31" s="323">
        <f t="shared" si="21"/>
        <v>997.075</v>
      </c>
      <c r="AJ31" s="323">
        <f t="shared" si="21"/>
        <v>997.075</v>
      </c>
      <c r="AK31" s="323">
        <f t="shared" si="21"/>
        <v>997.075</v>
      </c>
      <c r="AL31" s="323">
        <f t="shared" si="21"/>
        <v>997.075</v>
      </c>
      <c r="AM31" s="323">
        <f t="shared" si="21"/>
        <v>997.075</v>
      </c>
      <c r="AN31" s="323">
        <f t="shared" si="21"/>
        <v>997.075</v>
      </c>
      <c r="AO31" s="323">
        <f t="shared" si="21"/>
        <v>997.075</v>
      </c>
      <c r="AP31" s="323">
        <f t="shared" si="21"/>
        <v>997.075</v>
      </c>
      <c r="AQ31" s="323">
        <f t="shared" si="21"/>
        <v>997.075</v>
      </c>
      <c r="AR31" s="323">
        <f t="shared" si="21"/>
        <v>997.075</v>
      </c>
      <c r="AS31" s="323">
        <f t="shared" si="21"/>
        <v>997.075</v>
      </c>
      <c r="AT31" s="323">
        <f t="shared" si="21"/>
        <v>997.075</v>
      </c>
      <c r="AU31" s="323">
        <f t="shared" si="21"/>
        <v>997.075</v>
      </c>
      <c r="AV31" s="323">
        <f t="shared" si="21"/>
        <v>997.075</v>
      </c>
      <c r="AW31" s="323">
        <f t="shared" si="21"/>
        <v>997.075</v>
      </c>
      <c r="AX31" s="323">
        <f t="shared" si="4"/>
        <v>997.075</v>
      </c>
      <c r="AY31" s="327">
        <f t="shared" si="5"/>
        <v>997.075</v>
      </c>
      <c r="AZ31" s="327">
        <f t="shared" si="6"/>
        <v>997.075</v>
      </c>
      <c r="BA31" s="327">
        <f t="shared" si="7"/>
        <v>997.075</v>
      </c>
      <c r="BB31" s="327">
        <f t="shared" si="8"/>
        <v>997.075</v>
      </c>
      <c r="BC31" s="327">
        <f t="shared" si="11"/>
        <v>997.075</v>
      </c>
      <c r="BD31" s="327">
        <f t="shared" si="12"/>
        <v>997.075</v>
      </c>
      <c r="BE31" s="327">
        <f t="shared" si="13"/>
        <v>997.075</v>
      </c>
      <c r="BF31" s="327">
        <f t="shared" si="14"/>
        <v>997.075</v>
      </c>
      <c r="BG31" s="327">
        <f t="shared" si="15"/>
        <v>997.075</v>
      </c>
      <c r="BH31" s="327">
        <f t="shared" si="16"/>
        <v>997.075</v>
      </c>
      <c r="BI31" s="327">
        <f t="shared" si="17"/>
        <v>997.075</v>
      </c>
      <c r="BJ31" s="327">
        <f t="shared" si="18"/>
        <v>997.075</v>
      </c>
      <c r="BK31" s="327">
        <f t="shared" si="19"/>
        <v>997.075</v>
      </c>
      <c r="BL31" s="327">
        <f t="shared" si="20"/>
        <v>997.075</v>
      </c>
      <c r="BM31" s="327">
        <f t="shared" si="22"/>
        <v>997.075</v>
      </c>
      <c r="BN31" s="327">
        <f t="shared" si="23"/>
        <v>997.075</v>
      </c>
      <c r="BO31" s="327">
        <f t="shared" si="23"/>
        <v>997.075</v>
      </c>
      <c r="BP31" s="327">
        <f t="shared" si="23"/>
        <v>997.075</v>
      </c>
      <c r="BQ31" s="325"/>
      <c r="BR31" s="325"/>
      <c r="BS31" s="325"/>
      <c r="BT31" s="325"/>
      <c r="BU31" s="325"/>
      <c r="BV31" s="325"/>
      <c r="BW31" s="325"/>
      <c r="BX31" s="325"/>
      <c r="BY31" s="325"/>
      <c r="BZ31" s="325"/>
      <c r="CA31" s="325"/>
      <c r="CB31" s="325"/>
      <c r="CC31" s="325"/>
      <c r="CD31" s="325"/>
      <c r="CE31" s="325"/>
      <c r="CF31" s="325"/>
      <c r="CG31" s="325"/>
      <c r="CH31" s="325"/>
    </row>
    <row r="32" spans="1:86" ht="15">
      <c r="A32" s="326">
        <v>42552</v>
      </c>
      <c r="B32" s="322">
        <f t="shared" si="0"/>
        <v>3323.5833333333335</v>
      </c>
      <c r="C32" s="325">
        <v>300</v>
      </c>
      <c r="D32" s="328">
        <f t="shared" si="9"/>
        <v>997.075</v>
      </c>
      <c r="E32" s="328">
        <f t="shared" si="9"/>
        <v>997.075</v>
      </c>
      <c r="F32" s="328">
        <f t="shared" si="9"/>
        <v>997.075</v>
      </c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3">
        <f t="shared" si="21"/>
        <v>997.075</v>
      </c>
      <c r="AI32" s="323">
        <f t="shared" si="21"/>
        <v>997.075</v>
      </c>
      <c r="AJ32" s="323">
        <f t="shared" si="21"/>
        <v>997.075</v>
      </c>
      <c r="AK32" s="323">
        <f t="shared" si="21"/>
        <v>997.075</v>
      </c>
      <c r="AL32" s="323">
        <f t="shared" si="21"/>
        <v>997.075</v>
      </c>
      <c r="AM32" s="323">
        <f t="shared" si="21"/>
        <v>997.075</v>
      </c>
      <c r="AN32" s="323">
        <f t="shared" si="21"/>
        <v>997.075</v>
      </c>
      <c r="AO32" s="323">
        <f t="shared" si="21"/>
        <v>997.075</v>
      </c>
      <c r="AP32" s="323">
        <f t="shared" si="21"/>
        <v>997.075</v>
      </c>
      <c r="AQ32" s="323">
        <f t="shared" si="21"/>
        <v>997.075</v>
      </c>
      <c r="AR32" s="323">
        <f t="shared" si="21"/>
        <v>997.075</v>
      </c>
      <c r="AS32" s="323">
        <f t="shared" si="21"/>
        <v>997.075</v>
      </c>
      <c r="AT32" s="323">
        <f t="shared" si="21"/>
        <v>997.075</v>
      </c>
      <c r="AU32" s="323">
        <f t="shared" si="21"/>
        <v>997.075</v>
      </c>
      <c r="AV32" s="323">
        <f t="shared" si="21"/>
        <v>997.075</v>
      </c>
      <c r="AW32" s="323">
        <f t="shared" si="21"/>
        <v>997.075</v>
      </c>
      <c r="AX32" s="323">
        <f t="shared" si="4"/>
        <v>997.075</v>
      </c>
      <c r="AY32" s="323">
        <f t="shared" si="5"/>
        <v>997.075</v>
      </c>
      <c r="AZ32" s="327">
        <f t="shared" si="6"/>
        <v>997.075</v>
      </c>
      <c r="BA32" s="327">
        <f t="shared" si="7"/>
        <v>997.075</v>
      </c>
      <c r="BB32" s="327">
        <f t="shared" si="8"/>
        <v>997.075</v>
      </c>
      <c r="BC32" s="327">
        <f t="shared" si="11"/>
        <v>997.075</v>
      </c>
      <c r="BD32" s="327">
        <f t="shared" si="12"/>
        <v>997.075</v>
      </c>
      <c r="BE32" s="327">
        <f t="shared" si="13"/>
        <v>997.075</v>
      </c>
      <c r="BF32" s="327">
        <f t="shared" si="14"/>
        <v>997.075</v>
      </c>
      <c r="BG32" s="327">
        <f t="shared" si="15"/>
        <v>997.075</v>
      </c>
      <c r="BH32" s="327">
        <f t="shared" si="16"/>
        <v>997.075</v>
      </c>
      <c r="BI32" s="327">
        <f t="shared" si="17"/>
        <v>997.075</v>
      </c>
      <c r="BJ32" s="327">
        <f t="shared" si="18"/>
        <v>997.075</v>
      </c>
      <c r="BK32" s="327">
        <f t="shared" si="19"/>
        <v>997.075</v>
      </c>
      <c r="BL32" s="327">
        <f t="shared" si="20"/>
        <v>997.075</v>
      </c>
      <c r="BM32" s="327">
        <f t="shared" si="22"/>
        <v>997.075</v>
      </c>
      <c r="BN32" s="327">
        <f t="shared" si="23"/>
        <v>997.075</v>
      </c>
      <c r="BO32" s="327">
        <f t="shared" si="23"/>
        <v>997.075</v>
      </c>
      <c r="BP32" s="327">
        <f t="shared" si="23"/>
        <v>997.075</v>
      </c>
      <c r="BQ32" s="327">
        <f t="shared" si="23"/>
        <v>997.075</v>
      </c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</row>
    <row r="33" spans="1:86" ht="15">
      <c r="A33" s="326">
        <v>42583</v>
      </c>
      <c r="B33" s="322">
        <f t="shared" si="0"/>
        <v>3323.5833333333335</v>
      </c>
      <c r="C33" s="325">
        <v>300</v>
      </c>
      <c r="D33" s="328">
        <f t="shared" si="9"/>
        <v>997.075</v>
      </c>
      <c r="E33" s="328">
        <f t="shared" si="9"/>
        <v>997.075</v>
      </c>
      <c r="F33" s="328">
        <f t="shared" si="9"/>
        <v>997.075</v>
      </c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5"/>
      <c r="W33" s="325"/>
      <c r="X33" s="325"/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3">
        <f>$B$1*$C$2/1000</f>
        <v>997.075</v>
      </c>
      <c r="AJ33" s="323">
        <f>$B$1*$C$2/1000</f>
        <v>997.075</v>
      </c>
      <c r="AK33" s="323">
        <f>$B$1*$C$2/1000</f>
        <v>997.075</v>
      </c>
      <c r="AL33" s="323">
        <f>$B$1*$C$2/1000</f>
        <v>997.075</v>
      </c>
      <c r="AM33" s="323">
        <f>$B$1*$C$2/1000</f>
        <v>997.075</v>
      </c>
      <c r="AN33" s="323">
        <f t="shared" si="21"/>
        <v>997.075</v>
      </c>
      <c r="AO33" s="323">
        <f t="shared" si="21"/>
        <v>997.075</v>
      </c>
      <c r="AP33" s="323">
        <f t="shared" si="21"/>
        <v>997.075</v>
      </c>
      <c r="AQ33" s="323">
        <f t="shared" si="21"/>
        <v>997.075</v>
      </c>
      <c r="AR33" s="323">
        <f t="shared" si="21"/>
        <v>997.075</v>
      </c>
      <c r="AS33" s="323">
        <f t="shared" si="21"/>
        <v>997.075</v>
      </c>
      <c r="AT33" s="323">
        <f t="shared" si="21"/>
        <v>997.075</v>
      </c>
      <c r="AU33" s="323">
        <f t="shared" si="21"/>
        <v>997.075</v>
      </c>
      <c r="AV33" s="323">
        <f t="shared" si="21"/>
        <v>997.075</v>
      </c>
      <c r="AW33" s="323">
        <f t="shared" si="21"/>
        <v>997.075</v>
      </c>
      <c r="AX33" s="323">
        <f t="shared" si="4"/>
        <v>997.075</v>
      </c>
      <c r="AY33" s="323">
        <f t="shared" si="5"/>
        <v>997.075</v>
      </c>
      <c r="AZ33" s="323">
        <f t="shared" si="6"/>
        <v>997.075</v>
      </c>
      <c r="BA33" s="327">
        <f t="shared" si="7"/>
        <v>997.075</v>
      </c>
      <c r="BB33" s="327">
        <f t="shared" si="8"/>
        <v>997.075</v>
      </c>
      <c r="BC33" s="327">
        <f t="shared" si="11"/>
        <v>997.075</v>
      </c>
      <c r="BD33" s="327">
        <f t="shared" si="12"/>
        <v>997.075</v>
      </c>
      <c r="BE33" s="327">
        <f t="shared" si="13"/>
        <v>997.075</v>
      </c>
      <c r="BF33" s="327">
        <f t="shared" si="14"/>
        <v>997.075</v>
      </c>
      <c r="BG33" s="327">
        <f t="shared" si="15"/>
        <v>997.075</v>
      </c>
      <c r="BH33" s="327">
        <f t="shared" si="16"/>
        <v>997.075</v>
      </c>
      <c r="BI33" s="327">
        <f t="shared" si="17"/>
        <v>997.075</v>
      </c>
      <c r="BJ33" s="327">
        <f t="shared" si="18"/>
        <v>997.075</v>
      </c>
      <c r="BK33" s="327">
        <f t="shared" si="19"/>
        <v>997.075</v>
      </c>
      <c r="BL33" s="327">
        <f t="shared" si="20"/>
        <v>997.075</v>
      </c>
      <c r="BM33" s="327">
        <f t="shared" si="22"/>
        <v>997.075</v>
      </c>
      <c r="BN33" s="327">
        <f t="shared" si="23"/>
        <v>997.075</v>
      </c>
      <c r="BO33" s="327">
        <f t="shared" si="23"/>
        <v>997.075</v>
      </c>
      <c r="BP33" s="327">
        <f t="shared" si="23"/>
        <v>997.075</v>
      </c>
      <c r="BQ33" s="327">
        <f t="shared" si="23"/>
        <v>997.075</v>
      </c>
      <c r="BR33" s="327">
        <f t="shared" si="23"/>
        <v>997.075</v>
      </c>
      <c r="BS33" s="325"/>
      <c r="BT33" s="325"/>
      <c r="BU33" s="325"/>
      <c r="BV33" s="325"/>
      <c r="BW33" s="325"/>
      <c r="BX33" s="325"/>
      <c r="BY33" s="325"/>
      <c r="BZ33" s="325"/>
      <c r="CA33" s="325"/>
      <c r="CB33" s="325"/>
      <c r="CC33" s="325"/>
      <c r="CD33" s="325"/>
      <c r="CE33" s="325"/>
      <c r="CF33" s="325"/>
      <c r="CG33" s="325"/>
      <c r="CH33" s="325"/>
    </row>
    <row r="34" spans="1:86" ht="15">
      <c r="A34" s="326">
        <v>42614</v>
      </c>
      <c r="B34" s="322">
        <f t="shared" si="0"/>
        <v>3323.5833333333335</v>
      </c>
      <c r="C34" s="325">
        <v>300</v>
      </c>
      <c r="D34" s="328">
        <f t="shared" si="9"/>
        <v>997.075</v>
      </c>
      <c r="E34" s="328">
        <f t="shared" si="9"/>
        <v>997.075</v>
      </c>
      <c r="F34" s="328">
        <f t="shared" si="9"/>
        <v>997.075</v>
      </c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3">
        <f>$B$1*$C$2/1000</f>
        <v>997.075</v>
      </c>
      <c r="AK34" s="323">
        <f>$B$1*$C$2/1000</f>
        <v>997.075</v>
      </c>
      <c r="AL34" s="323">
        <f>$B$1*$C$2/1000</f>
        <v>997.075</v>
      </c>
      <c r="AM34" s="323">
        <f>$B$1*$C$2/1000</f>
        <v>997.075</v>
      </c>
      <c r="AN34" s="323">
        <f t="shared" si="21"/>
        <v>997.075</v>
      </c>
      <c r="AO34" s="323">
        <f t="shared" si="21"/>
        <v>997.075</v>
      </c>
      <c r="AP34" s="323">
        <f t="shared" si="21"/>
        <v>997.075</v>
      </c>
      <c r="AQ34" s="323">
        <f t="shared" si="21"/>
        <v>997.075</v>
      </c>
      <c r="AR34" s="323">
        <f t="shared" si="21"/>
        <v>997.075</v>
      </c>
      <c r="AS34" s="323">
        <f t="shared" si="21"/>
        <v>997.075</v>
      </c>
      <c r="AT34" s="323">
        <f t="shared" si="21"/>
        <v>997.075</v>
      </c>
      <c r="AU34" s="323">
        <f t="shared" si="21"/>
        <v>997.075</v>
      </c>
      <c r="AV34" s="323">
        <f t="shared" si="21"/>
        <v>997.075</v>
      </c>
      <c r="AW34" s="323">
        <f t="shared" si="21"/>
        <v>997.075</v>
      </c>
      <c r="AX34" s="323">
        <f t="shared" si="4"/>
        <v>997.075</v>
      </c>
      <c r="AY34" s="323">
        <f t="shared" si="5"/>
        <v>997.075</v>
      </c>
      <c r="AZ34" s="323">
        <f t="shared" si="6"/>
        <v>997.075</v>
      </c>
      <c r="BA34" s="323">
        <f t="shared" si="7"/>
        <v>997.075</v>
      </c>
      <c r="BB34" s="327">
        <f t="shared" si="8"/>
        <v>997.075</v>
      </c>
      <c r="BC34" s="327">
        <f t="shared" si="11"/>
        <v>997.075</v>
      </c>
      <c r="BD34" s="327">
        <f t="shared" si="12"/>
        <v>997.075</v>
      </c>
      <c r="BE34" s="327">
        <f t="shared" si="13"/>
        <v>997.075</v>
      </c>
      <c r="BF34" s="327">
        <f t="shared" si="14"/>
        <v>997.075</v>
      </c>
      <c r="BG34" s="327">
        <f t="shared" si="15"/>
        <v>997.075</v>
      </c>
      <c r="BH34" s="327">
        <f t="shared" si="16"/>
        <v>997.075</v>
      </c>
      <c r="BI34" s="327">
        <f t="shared" si="17"/>
        <v>997.075</v>
      </c>
      <c r="BJ34" s="327">
        <f t="shared" si="18"/>
        <v>997.075</v>
      </c>
      <c r="BK34" s="327">
        <f t="shared" si="19"/>
        <v>997.075</v>
      </c>
      <c r="BL34" s="327">
        <f t="shared" si="20"/>
        <v>997.075</v>
      </c>
      <c r="BM34" s="327">
        <f t="shared" si="22"/>
        <v>997.075</v>
      </c>
      <c r="BN34" s="327">
        <f t="shared" si="23"/>
        <v>997.075</v>
      </c>
      <c r="BO34" s="327">
        <f t="shared" si="23"/>
        <v>997.075</v>
      </c>
      <c r="BP34" s="327">
        <f t="shared" si="23"/>
        <v>997.075</v>
      </c>
      <c r="BQ34" s="327">
        <f t="shared" si="23"/>
        <v>997.075</v>
      </c>
      <c r="BR34" s="327">
        <f t="shared" si="23"/>
        <v>997.075</v>
      </c>
      <c r="BS34" s="327">
        <f t="shared" si="23"/>
        <v>997.075</v>
      </c>
      <c r="BT34" s="325"/>
      <c r="BU34" s="325"/>
      <c r="BV34" s="325"/>
      <c r="BW34" s="325"/>
      <c r="BX34" s="325"/>
      <c r="BY34" s="325"/>
      <c r="BZ34" s="325"/>
      <c r="CA34" s="325"/>
      <c r="CB34" s="325"/>
      <c r="CC34" s="325"/>
      <c r="CD34" s="325"/>
      <c r="CE34" s="325"/>
      <c r="CF34" s="325"/>
      <c r="CG34" s="325"/>
      <c r="CH34" s="325"/>
    </row>
    <row r="35" spans="1:86" ht="15">
      <c r="A35" s="326">
        <v>42644</v>
      </c>
      <c r="B35" s="322">
        <f t="shared" si="0"/>
        <v>3323.5833333333335</v>
      </c>
      <c r="C35" s="325">
        <v>300</v>
      </c>
      <c r="D35" s="328">
        <f t="shared" si="9"/>
        <v>997.075</v>
      </c>
      <c r="E35" s="328">
        <f t="shared" si="9"/>
        <v>997.075</v>
      </c>
      <c r="F35" s="328">
        <f t="shared" si="9"/>
        <v>997.075</v>
      </c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5"/>
      <c r="W35" s="325"/>
      <c r="X35" s="325"/>
      <c r="Y35" s="325"/>
      <c r="Z35" s="325"/>
      <c r="AA35" s="325"/>
      <c r="AB35" s="325"/>
      <c r="AC35" s="325"/>
      <c r="AD35" s="325"/>
      <c r="AE35" s="325"/>
      <c r="AF35" s="325"/>
      <c r="AG35" s="325"/>
      <c r="AH35" s="325"/>
      <c r="AI35" s="325"/>
      <c r="AJ35" s="325"/>
      <c r="AK35" s="323">
        <f>$B$1*$C$2/1000</f>
        <v>997.075</v>
      </c>
      <c r="AL35" s="323">
        <f>$B$1*$C$2/1000</f>
        <v>997.075</v>
      </c>
      <c r="AM35" s="323">
        <f>$B$1*$C$2/1000</f>
        <v>997.075</v>
      </c>
      <c r="AN35" s="323">
        <f t="shared" si="21"/>
        <v>997.075</v>
      </c>
      <c r="AO35" s="323">
        <f t="shared" si="21"/>
        <v>997.075</v>
      </c>
      <c r="AP35" s="323">
        <f t="shared" si="21"/>
        <v>997.075</v>
      </c>
      <c r="AQ35" s="323">
        <f t="shared" si="21"/>
        <v>997.075</v>
      </c>
      <c r="AR35" s="323">
        <f t="shared" si="21"/>
        <v>997.075</v>
      </c>
      <c r="AS35" s="323">
        <f t="shared" si="21"/>
        <v>997.075</v>
      </c>
      <c r="AT35" s="323">
        <f t="shared" si="21"/>
        <v>997.075</v>
      </c>
      <c r="AU35" s="323">
        <f t="shared" si="21"/>
        <v>997.075</v>
      </c>
      <c r="AV35" s="323">
        <f t="shared" si="21"/>
        <v>997.075</v>
      </c>
      <c r="AW35" s="323">
        <f t="shared" si="21"/>
        <v>997.075</v>
      </c>
      <c r="AX35" s="323">
        <f t="shared" si="4"/>
        <v>997.075</v>
      </c>
      <c r="AY35" s="323">
        <f t="shared" si="5"/>
        <v>997.075</v>
      </c>
      <c r="AZ35" s="323">
        <f t="shared" si="6"/>
        <v>997.075</v>
      </c>
      <c r="BA35" s="323">
        <f t="shared" si="7"/>
        <v>997.075</v>
      </c>
      <c r="BB35" s="323">
        <f t="shared" si="8"/>
        <v>997.075</v>
      </c>
      <c r="BC35" s="327">
        <f t="shared" si="11"/>
        <v>997.075</v>
      </c>
      <c r="BD35" s="327">
        <f t="shared" si="12"/>
        <v>997.075</v>
      </c>
      <c r="BE35" s="327">
        <f t="shared" si="13"/>
        <v>997.075</v>
      </c>
      <c r="BF35" s="327">
        <f t="shared" si="14"/>
        <v>997.075</v>
      </c>
      <c r="BG35" s="327">
        <f t="shared" si="15"/>
        <v>997.075</v>
      </c>
      <c r="BH35" s="327">
        <f t="shared" si="16"/>
        <v>997.075</v>
      </c>
      <c r="BI35" s="327">
        <f t="shared" si="17"/>
        <v>997.075</v>
      </c>
      <c r="BJ35" s="327">
        <f t="shared" si="18"/>
        <v>997.075</v>
      </c>
      <c r="BK35" s="327">
        <f t="shared" si="19"/>
        <v>997.075</v>
      </c>
      <c r="BL35" s="327">
        <f t="shared" si="20"/>
        <v>997.075</v>
      </c>
      <c r="BM35" s="327">
        <f t="shared" si="22"/>
        <v>997.075</v>
      </c>
      <c r="BN35" s="327">
        <f t="shared" si="23"/>
        <v>997.075</v>
      </c>
      <c r="BO35" s="327">
        <f t="shared" si="23"/>
        <v>997.075</v>
      </c>
      <c r="BP35" s="327">
        <f t="shared" si="23"/>
        <v>997.075</v>
      </c>
      <c r="BQ35" s="327">
        <f t="shared" si="23"/>
        <v>997.075</v>
      </c>
      <c r="BR35" s="327">
        <f t="shared" si="23"/>
        <v>997.075</v>
      </c>
      <c r="BS35" s="327">
        <f t="shared" si="23"/>
        <v>997.075</v>
      </c>
      <c r="BT35" s="327">
        <f t="shared" si="23"/>
        <v>997.075</v>
      </c>
      <c r="BU35" s="325"/>
      <c r="BV35" s="325"/>
      <c r="BW35" s="325"/>
      <c r="BX35" s="325"/>
      <c r="BY35" s="325"/>
      <c r="BZ35" s="325"/>
      <c r="CA35" s="325"/>
      <c r="CB35" s="325"/>
      <c r="CC35" s="325"/>
      <c r="CD35" s="325"/>
      <c r="CE35" s="325"/>
      <c r="CF35" s="325"/>
      <c r="CG35" s="325"/>
      <c r="CH35" s="325"/>
    </row>
    <row r="36" spans="1:86" ht="15">
      <c r="A36" s="326">
        <v>42675</v>
      </c>
      <c r="B36" s="322">
        <f t="shared" si="0"/>
        <v>3323.5833333333335</v>
      </c>
      <c r="C36" s="325">
        <v>300</v>
      </c>
      <c r="D36" s="328">
        <f t="shared" si="9"/>
        <v>997.075</v>
      </c>
      <c r="E36" s="328">
        <f t="shared" si="9"/>
        <v>997.075</v>
      </c>
      <c r="F36" s="328">
        <f t="shared" si="9"/>
        <v>997.075</v>
      </c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5"/>
      <c r="W36" s="325"/>
      <c r="X36" s="325"/>
      <c r="Y36" s="325"/>
      <c r="Z36" s="325"/>
      <c r="AA36" s="325"/>
      <c r="AB36" s="325"/>
      <c r="AC36" s="325"/>
      <c r="AD36" s="325"/>
      <c r="AE36" s="325"/>
      <c r="AF36" s="325"/>
      <c r="AG36" s="325"/>
      <c r="AH36" s="325"/>
      <c r="AI36" s="325"/>
      <c r="AJ36" s="325"/>
      <c r="AK36" s="325"/>
      <c r="AL36" s="323">
        <f>$B$1*$C$2/1000</f>
        <v>997.075</v>
      </c>
      <c r="AM36" s="323">
        <f>$B$1*$C$2/1000</f>
        <v>997.075</v>
      </c>
      <c r="AN36" s="323">
        <f t="shared" si="21"/>
        <v>997.075</v>
      </c>
      <c r="AO36" s="323">
        <f t="shared" si="21"/>
        <v>997.075</v>
      </c>
      <c r="AP36" s="323">
        <f t="shared" si="21"/>
        <v>997.075</v>
      </c>
      <c r="AQ36" s="323">
        <f t="shared" si="21"/>
        <v>997.075</v>
      </c>
      <c r="AR36" s="323">
        <f t="shared" si="21"/>
        <v>997.075</v>
      </c>
      <c r="AS36" s="323">
        <f t="shared" si="21"/>
        <v>997.075</v>
      </c>
      <c r="AT36" s="323">
        <f t="shared" si="21"/>
        <v>997.075</v>
      </c>
      <c r="AU36" s="323">
        <f t="shared" si="21"/>
        <v>997.075</v>
      </c>
      <c r="AV36" s="323">
        <f t="shared" si="21"/>
        <v>997.075</v>
      </c>
      <c r="AW36" s="323">
        <f t="shared" si="21"/>
        <v>997.075</v>
      </c>
      <c r="AX36" s="323">
        <f t="shared" si="4"/>
        <v>997.075</v>
      </c>
      <c r="AY36" s="323">
        <f t="shared" si="5"/>
        <v>997.075</v>
      </c>
      <c r="AZ36" s="323">
        <f t="shared" si="6"/>
        <v>997.075</v>
      </c>
      <c r="BA36" s="323">
        <f t="shared" si="7"/>
        <v>997.075</v>
      </c>
      <c r="BB36" s="323">
        <f t="shared" si="8"/>
        <v>997.075</v>
      </c>
      <c r="BC36" s="323">
        <f t="shared" si="11"/>
        <v>997.075</v>
      </c>
      <c r="BD36" s="327">
        <f t="shared" si="12"/>
        <v>997.075</v>
      </c>
      <c r="BE36" s="327">
        <f t="shared" si="13"/>
        <v>997.075</v>
      </c>
      <c r="BF36" s="327">
        <f t="shared" si="14"/>
        <v>997.075</v>
      </c>
      <c r="BG36" s="327">
        <f t="shared" si="15"/>
        <v>997.075</v>
      </c>
      <c r="BH36" s="327">
        <f t="shared" si="16"/>
        <v>997.075</v>
      </c>
      <c r="BI36" s="327">
        <f t="shared" si="17"/>
        <v>997.075</v>
      </c>
      <c r="BJ36" s="327">
        <f t="shared" si="18"/>
        <v>997.075</v>
      </c>
      <c r="BK36" s="327">
        <f t="shared" si="19"/>
        <v>997.075</v>
      </c>
      <c r="BL36" s="327">
        <f t="shared" si="20"/>
        <v>997.075</v>
      </c>
      <c r="BM36" s="327">
        <f t="shared" si="22"/>
        <v>997.075</v>
      </c>
      <c r="BN36" s="327">
        <f t="shared" si="23"/>
        <v>997.075</v>
      </c>
      <c r="BO36" s="327">
        <f t="shared" si="23"/>
        <v>997.075</v>
      </c>
      <c r="BP36" s="327">
        <f t="shared" si="23"/>
        <v>997.075</v>
      </c>
      <c r="BQ36" s="327">
        <f t="shared" si="23"/>
        <v>997.075</v>
      </c>
      <c r="BR36" s="327">
        <f t="shared" si="23"/>
        <v>997.075</v>
      </c>
      <c r="BS36" s="327">
        <f t="shared" si="23"/>
        <v>997.075</v>
      </c>
      <c r="BT36" s="327">
        <f t="shared" si="23"/>
        <v>997.075</v>
      </c>
      <c r="BU36" s="327">
        <f t="shared" si="23"/>
        <v>997.075</v>
      </c>
      <c r="BV36" s="325"/>
      <c r="BW36" s="325"/>
      <c r="BX36" s="325"/>
      <c r="BY36" s="325"/>
      <c r="BZ36" s="325"/>
      <c r="CA36" s="325"/>
      <c r="CB36" s="325"/>
      <c r="CC36" s="325"/>
      <c r="CD36" s="325"/>
      <c r="CE36" s="325"/>
      <c r="CF36" s="325"/>
      <c r="CG36" s="325"/>
      <c r="CH36" s="325"/>
    </row>
    <row r="37" spans="1:86" ht="15">
      <c r="A37" s="326">
        <v>42705</v>
      </c>
      <c r="B37" s="322">
        <f t="shared" si="0"/>
        <v>3323.5833333333335</v>
      </c>
      <c r="C37" s="325">
        <v>300</v>
      </c>
      <c r="D37" s="328">
        <f t="shared" si="9"/>
        <v>997.075</v>
      </c>
      <c r="E37" s="328">
        <f t="shared" si="9"/>
        <v>997.075</v>
      </c>
      <c r="F37" s="328">
        <f t="shared" si="9"/>
        <v>997.075</v>
      </c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5"/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3">
        <f>$B$1*$C$2/1000</f>
        <v>997.075</v>
      </c>
      <c r="AN37" s="323">
        <f t="shared" si="21"/>
        <v>997.075</v>
      </c>
      <c r="AO37" s="323">
        <f t="shared" si="21"/>
        <v>997.075</v>
      </c>
      <c r="AP37" s="323">
        <f t="shared" si="21"/>
        <v>997.075</v>
      </c>
      <c r="AQ37" s="323">
        <f t="shared" si="21"/>
        <v>997.075</v>
      </c>
      <c r="AR37" s="323">
        <f t="shared" si="21"/>
        <v>997.075</v>
      </c>
      <c r="AS37" s="323">
        <f t="shared" si="21"/>
        <v>997.075</v>
      </c>
      <c r="AT37" s="323">
        <f t="shared" si="21"/>
        <v>997.075</v>
      </c>
      <c r="AU37" s="323">
        <f t="shared" si="21"/>
        <v>997.075</v>
      </c>
      <c r="AV37" s="323">
        <f t="shared" si="21"/>
        <v>997.075</v>
      </c>
      <c r="AW37" s="323">
        <f t="shared" si="21"/>
        <v>997.075</v>
      </c>
      <c r="AX37" s="323">
        <f t="shared" si="4"/>
        <v>997.075</v>
      </c>
      <c r="AY37" s="323">
        <f t="shared" si="5"/>
        <v>997.075</v>
      </c>
      <c r="AZ37" s="323">
        <f t="shared" si="6"/>
        <v>997.075</v>
      </c>
      <c r="BA37" s="323">
        <f t="shared" si="7"/>
        <v>997.075</v>
      </c>
      <c r="BB37" s="323">
        <f t="shared" si="8"/>
        <v>997.075</v>
      </c>
      <c r="BC37" s="323">
        <f t="shared" si="11"/>
        <v>997.075</v>
      </c>
      <c r="BD37" s="323">
        <f t="shared" si="12"/>
        <v>997.075</v>
      </c>
      <c r="BE37" s="327">
        <f t="shared" si="13"/>
        <v>997.075</v>
      </c>
      <c r="BF37" s="327">
        <f t="shared" si="14"/>
        <v>997.075</v>
      </c>
      <c r="BG37" s="327">
        <f t="shared" si="15"/>
        <v>997.075</v>
      </c>
      <c r="BH37" s="327">
        <f t="shared" si="16"/>
        <v>997.075</v>
      </c>
      <c r="BI37" s="327">
        <f t="shared" si="17"/>
        <v>997.075</v>
      </c>
      <c r="BJ37" s="327">
        <f t="shared" si="18"/>
        <v>997.075</v>
      </c>
      <c r="BK37" s="327">
        <f t="shared" si="19"/>
        <v>997.075</v>
      </c>
      <c r="BL37" s="327">
        <f t="shared" si="20"/>
        <v>997.075</v>
      </c>
      <c r="BM37" s="327">
        <f t="shared" si="22"/>
        <v>997.075</v>
      </c>
      <c r="BN37" s="327">
        <f t="shared" si="23"/>
        <v>997.075</v>
      </c>
      <c r="BO37" s="327">
        <f t="shared" si="23"/>
        <v>997.075</v>
      </c>
      <c r="BP37" s="327">
        <f t="shared" si="23"/>
        <v>997.075</v>
      </c>
      <c r="BQ37" s="327">
        <f t="shared" si="23"/>
        <v>997.075</v>
      </c>
      <c r="BR37" s="327">
        <f t="shared" si="23"/>
        <v>997.075</v>
      </c>
      <c r="BS37" s="327">
        <f t="shared" si="23"/>
        <v>997.075</v>
      </c>
      <c r="BT37" s="327">
        <f t="shared" si="23"/>
        <v>997.075</v>
      </c>
      <c r="BU37" s="327">
        <f t="shared" si="23"/>
        <v>997.075</v>
      </c>
      <c r="BV37" s="327">
        <f t="shared" si="23"/>
        <v>997.075</v>
      </c>
      <c r="BW37" s="325"/>
      <c r="BX37" s="325"/>
      <c r="BY37" s="325"/>
      <c r="BZ37" s="325"/>
      <c r="CA37" s="325"/>
      <c r="CB37" s="325"/>
      <c r="CC37" s="325"/>
      <c r="CD37" s="325"/>
      <c r="CE37" s="325"/>
      <c r="CF37" s="325"/>
      <c r="CG37" s="325"/>
      <c r="CH37" s="325"/>
    </row>
    <row r="38" spans="1:86" ht="15">
      <c r="A38" s="326">
        <v>42736</v>
      </c>
      <c r="B38" s="322">
        <f t="shared" si="0"/>
        <v>3323.5833333333335</v>
      </c>
      <c r="C38" s="325">
        <v>300</v>
      </c>
      <c r="D38" s="328">
        <f t="shared" si="9"/>
        <v>997.075</v>
      </c>
      <c r="E38" s="328">
        <f t="shared" si="9"/>
        <v>997.075</v>
      </c>
      <c r="F38" s="328">
        <f t="shared" si="9"/>
        <v>997.075</v>
      </c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3">
        <f t="shared" si="21"/>
        <v>997.075</v>
      </c>
      <c r="AO38" s="323">
        <f t="shared" si="21"/>
        <v>997.075</v>
      </c>
      <c r="AP38" s="323">
        <f t="shared" si="21"/>
        <v>997.075</v>
      </c>
      <c r="AQ38" s="323">
        <f t="shared" si="21"/>
        <v>997.075</v>
      </c>
      <c r="AR38" s="323">
        <f t="shared" si="21"/>
        <v>997.075</v>
      </c>
      <c r="AS38" s="323">
        <f t="shared" si="21"/>
        <v>997.075</v>
      </c>
      <c r="AT38" s="323">
        <f t="shared" si="21"/>
        <v>997.075</v>
      </c>
      <c r="AU38" s="323">
        <f t="shared" si="21"/>
        <v>997.075</v>
      </c>
      <c r="AV38" s="323">
        <f t="shared" si="21"/>
        <v>997.075</v>
      </c>
      <c r="AW38" s="323">
        <f t="shared" si="21"/>
        <v>997.075</v>
      </c>
      <c r="AX38" s="323">
        <f t="shared" si="4"/>
        <v>997.075</v>
      </c>
      <c r="AY38" s="323">
        <f t="shared" si="5"/>
        <v>997.075</v>
      </c>
      <c r="AZ38" s="323">
        <f t="shared" si="6"/>
        <v>997.075</v>
      </c>
      <c r="BA38" s="323">
        <f t="shared" si="7"/>
        <v>997.075</v>
      </c>
      <c r="BB38" s="323">
        <f t="shared" si="8"/>
        <v>997.075</v>
      </c>
      <c r="BC38" s="323">
        <f t="shared" si="11"/>
        <v>997.075</v>
      </c>
      <c r="BD38" s="323">
        <f t="shared" si="12"/>
        <v>997.075</v>
      </c>
      <c r="BE38" s="323">
        <f t="shared" si="13"/>
        <v>997.075</v>
      </c>
      <c r="BF38" s="327">
        <f t="shared" si="14"/>
        <v>997.075</v>
      </c>
      <c r="BG38" s="327">
        <f t="shared" si="15"/>
        <v>997.075</v>
      </c>
      <c r="BH38" s="327">
        <f t="shared" si="16"/>
        <v>997.075</v>
      </c>
      <c r="BI38" s="327">
        <f t="shared" si="17"/>
        <v>997.075</v>
      </c>
      <c r="BJ38" s="327">
        <f t="shared" si="18"/>
        <v>997.075</v>
      </c>
      <c r="BK38" s="327">
        <f t="shared" si="19"/>
        <v>997.075</v>
      </c>
      <c r="BL38" s="327">
        <f t="shared" si="20"/>
        <v>997.075</v>
      </c>
      <c r="BM38" s="327">
        <f t="shared" si="22"/>
        <v>997.075</v>
      </c>
      <c r="BN38" s="327">
        <f t="shared" si="23"/>
        <v>997.075</v>
      </c>
      <c r="BO38" s="327">
        <f t="shared" si="23"/>
        <v>997.075</v>
      </c>
      <c r="BP38" s="327">
        <f t="shared" si="23"/>
        <v>997.075</v>
      </c>
      <c r="BQ38" s="327">
        <f t="shared" si="23"/>
        <v>997.075</v>
      </c>
      <c r="BR38" s="327">
        <f t="shared" si="23"/>
        <v>997.075</v>
      </c>
      <c r="BS38" s="327">
        <f t="shared" si="23"/>
        <v>997.075</v>
      </c>
      <c r="BT38" s="327">
        <f t="shared" si="23"/>
        <v>997.075</v>
      </c>
      <c r="BU38" s="327">
        <f t="shared" si="23"/>
        <v>997.075</v>
      </c>
      <c r="BV38" s="327">
        <f t="shared" si="23"/>
        <v>997.075</v>
      </c>
      <c r="BW38" s="327">
        <f t="shared" si="23"/>
        <v>997.075</v>
      </c>
      <c r="BX38" s="325"/>
      <c r="BY38" s="325"/>
      <c r="BZ38" s="325"/>
      <c r="CA38" s="325"/>
      <c r="CB38" s="325"/>
      <c r="CC38" s="325"/>
      <c r="CD38" s="325"/>
      <c r="CE38" s="325"/>
      <c r="CF38" s="325"/>
      <c r="CG38" s="325"/>
      <c r="CH38" s="325"/>
    </row>
    <row r="39" spans="1:86" ht="15">
      <c r="A39" s="326">
        <v>42767</v>
      </c>
      <c r="B39" s="322">
        <f t="shared" si="0"/>
        <v>3323.5833333333335</v>
      </c>
      <c r="C39" s="325">
        <v>300</v>
      </c>
      <c r="D39" s="328">
        <f t="shared" si="9"/>
        <v>997.075</v>
      </c>
      <c r="E39" s="328">
        <f t="shared" si="9"/>
        <v>997.075</v>
      </c>
      <c r="F39" s="328">
        <f t="shared" si="9"/>
        <v>997.075</v>
      </c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325"/>
      <c r="AO39" s="323">
        <f t="shared" si="21"/>
        <v>997.075</v>
      </c>
      <c r="AP39" s="323">
        <f t="shared" si="21"/>
        <v>997.075</v>
      </c>
      <c r="AQ39" s="323">
        <f t="shared" si="21"/>
        <v>997.075</v>
      </c>
      <c r="AR39" s="323">
        <f t="shared" si="21"/>
        <v>997.075</v>
      </c>
      <c r="AS39" s="323">
        <f t="shared" si="21"/>
        <v>997.075</v>
      </c>
      <c r="AT39" s="323">
        <f t="shared" si="21"/>
        <v>997.075</v>
      </c>
      <c r="AU39" s="323">
        <f t="shared" si="21"/>
        <v>997.075</v>
      </c>
      <c r="AV39" s="323">
        <f t="shared" si="21"/>
        <v>997.075</v>
      </c>
      <c r="AW39" s="323">
        <f t="shared" si="21"/>
        <v>997.075</v>
      </c>
      <c r="AX39" s="323">
        <f t="shared" si="4"/>
        <v>997.075</v>
      </c>
      <c r="AY39" s="323">
        <f t="shared" si="5"/>
        <v>997.075</v>
      </c>
      <c r="AZ39" s="323">
        <f t="shared" si="6"/>
        <v>997.075</v>
      </c>
      <c r="BA39" s="323">
        <f t="shared" si="7"/>
        <v>997.075</v>
      </c>
      <c r="BB39" s="323">
        <f t="shared" si="8"/>
        <v>997.075</v>
      </c>
      <c r="BC39" s="323">
        <f t="shared" si="11"/>
        <v>997.075</v>
      </c>
      <c r="BD39" s="323">
        <f t="shared" si="12"/>
        <v>997.075</v>
      </c>
      <c r="BE39" s="323">
        <f t="shared" si="13"/>
        <v>997.075</v>
      </c>
      <c r="BF39" s="323">
        <f t="shared" si="14"/>
        <v>997.075</v>
      </c>
      <c r="BG39" s="327">
        <f t="shared" si="15"/>
        <v>997.075</v>
      </c>
      <c r="BH39" s="327">
        <f t="shared" si="16"/>
        <v>997.075</v>
      </c>
      <c r="BI39" s="327">
        <f t="shared" si="17"/>
        <v>997.075</v>
      </c>
      <c r="BJ39" s="327">
        <f t="shared" si="18"/>
        <v>997.075</v>
      </c>
      <c r="BK39" s="327">
        <f t="shared" si="19"/>
        <v>997.075</v>
      </c>
      <c r="BL39" s="327">
        <f t="shared" si="20"/>
        <v>997.075</v>
      </c>
      <c r="BM39" s="327">
        <f t="shared" si="22"/>
        <v>997.075</v>
      </c>
      <c r="BN39" s="327">
        <f t="shared" si="23"/>
        <v>997.075</v>
      </c>
      <c r="BO39" s="327">
        <f t="shared" si="23"/>
        <v>997.075</v>
      </c>
      <c r="BP39" s="327">
        <f t="shared" si="23"/>
        <v>997.075</v>
      </c>
      <c r="BQ39" s="327">
        <f t="shared" si="23"/>
        <v>997.075</v>
      </c>
      <c r="BR39" s="327">
        <f t="shared" si="23"/>
        <v>997.075</v>
      </c>
      <c r="BS39" s="327">
        <f t="shared" si="23"/>
        <v>997.075</v>
      </c>
      <c r="BT39" s="327">
        <f t="shared" si="23"/>
        <v>997.075</v>
      </c>
      <c r="BU39" s="327">
        <f t="shared" si="23"/>
        <v>997.075</v>
      </c>
      <c r="BV39" s="327">
        <f t="shared" si="23"/>
        <v>997.075</v>
      </c>
      <c r="BW39" s="327">
        <f t="shared" si="23"/>
        <v>997.075</v>
      </c>
      <c r="BX39" s="327">
        <f t="shared" si="23"/>
        <v>997.075</v>
      </c>
      <c r="BY39" s="325"/>
      <c r="BZ39" s="325"/>
      <c r="CA39" s="325"/>
      <c r="CB39" s="325"/>
      <c r="CC39" s="325"/>
      <c r="CD39" s="325"/>
      <c r="CE39" s="325"/>
      <c r="CF39" s="325"/>
      <c r="CG39" s="325"/>
      <c r="CH39" s="325"/>
    </row>
    <row r="40" spans="1:86" ht="15">
      <c r="A40" s="326">
        <v>42795</v>
      </c>
      <c r="B40" s="322">
        <f t="shared" si="0"/>
        <v>3323.5833333333335</v>
      </c>
      <c r="C40" s="325">
        <v>300</v>
      </c>
      <c r="D40" s="328">
        <f t="shared" si="9"/>
        <v>997.075</v>
      </c>
      <c r="E40" s="328">
        <f t="shared" si="9"/>
        <v>997.075</v>
      </c>
      <c r="F40" s="328">
        <f t="shared" si="9"/>
        <v>997.075</v>
      </c>
      <c r="G40" s="325"/>
      <c r="H40" s="325"/>
      <c r="I40" s="325"/>
      <c r="J40" s="325"/>
      <c r="K40" s="325"/>
      <c r="L40" s="325"/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3">
        <f t="shared" si="21"/>
        <v>997.075</v>
      </c>
      <c r="AQ40" s="323">
        <f t="shared" si="21"/>
        <v>997.075</v>
      </c>
      <c r="AR40" s="323">
        <f t="shared" si="21"/>
        <v>997.075</v>
      </c>
      <c r="AS40" s="323">
        <f t="shared" si="21"/>
        <v>997.075</v>
      </c>
      <c r="AT40" s="323">
        <f t="shared" si="21"/>
        <v>997.075</v>
      </c>
      <c r="AU40" s="323">
        <f t="shared" si="21"/>
        <v>997.075</v>
      </c>
      <c r="AV40" s="323">
        <f t="shared" si="21"/>
        <v>997.075</v>
      </c>
      <c r="AW40" s="323">
        <f t="shared" si="21"/>
        <v>997.075</v>
      </c>
      <c r="AX40" s="323">
        <f t="shared" si="4"/>
        <v>997.075</v>
      </c>
      <c r="AY40" s="323">
        <f t="shared" si="5"/>
        <v>997.075</v>
      </c>
      <c r="AZ40" s="323">
        <f t="shared" si="6"/>
        <v>997.075</v>
      </c>
      <c r="BA40" s="323">
        <f t="shared" si="7"/>
        <v>997.075</v>
      </c>
      <c r="BB40" s="323">
        <f t="shared" si="8"/>
        <v>997.075</v>
      </c>
      <c r="BC40" s="323">
        <f t="shared" si="11"/>
        <v>997.075</v>
      </c>
      <c r="BD40" s="323">
        <f t="shared" si="12"/>
        <v>997.075</v>
      </c>
      <c r="BE40" s="323">
        <f t="shared" si="13"/>
        <v>997.075</v>
      </c>
      <c r="BF40" s="323">
        <f t="shared" si="14"/>
        <v>997.075</v>
      </c>
      <c r="BG40" s="323">
        <f t="shared" si="15"/>
        <v>997.075</v>
      </c>
      <c r="BH40" s="327">
        <f t="shared" si="16"/>
        <v>997.075</v>
      </c>
      <c r="BI40" s="327">
        <f t="shared" si="17"/>
        <v>997.075</v>
      </c>
      <c r="BJ40" s="327">
        <f t="shared" si="18"/>
        <v>997.075</v>
      </c>
      <c r="BK40" s="327">
        <f t="shared" si="19"/>
        <v>997.075</v>
      </c>
      <c r="BL40" s="327">
        <f t="shared" si="20"/>
        <v>997.075</v>
      </c>
      <c r="BM40" s="327">
        <f t="shared" si="22"/>
        <v>997.075</v>
      </c>
      <c r="BN40" s="327">
        <f t="shared" si="23"/>
        <v>997.075</v>
      </c>
      <c r="BO40" s="327">
        <f t="shared" si="23"/>
        <v>997.075</v>
      </c>
      <c r="BP40" s="327">
        <f t="shared" si="23"/>
        <v>997.075</v>
      </c>
      <c r="BQ40" s="327">
        <f t="shared" si="23"/>
        <v>997.075</v>
      </c>
      <c r="BR40" s="327">
        <f t="shared" si="23"/>
        <v>997.075</v>
      </c>
      <c r="BS40" s="327">
        <f t="shared" si="23"/>
        <v>997.075</v>
      </c>
      <c r="BT40" s="327">
        <f t="shared" si="23"/>
        <v>997.075</v>
      </c>
      <c r="BU40" s="327">
        <f t="shared" si="23"/>
        <v>997.075</v>
      </c>
      <c r="BV40" s="327">
        <f t="shared" si="23"/>
        <v>997.075</v>
      </c>
      <c r="BW40" s="327">
        <f t="shared" si="23"/>
        <v>997.075</v>
      </c>
      <c r="BX40" s="327">
        <f t="shared" si="23"/>
        <v>997.075</v>
      </c>
      <c r="BY40" s="327">
        <f t="shared" si="23"/>
        <v>997.075</v>
      </c>
      <c r="BZ40" s="325"/>
      <c r="CA40" s="325"/>
      <c r="CB40" s="325"/>
      <c r="CC40" s="325"/>
      <c r="CD40" s="325"/>
      <c r="CE40" s="325"/>
      <c r="CF40" s="325"/>
      <c r="CG40" s="325"/>
      <c r="CH40" s="325"/>
    </row>
    <row r="41" spans="1:86" ht="15">
      <c r="A41" s="326">
        <v>42826</v>
      </c>
      <c r="B41" s="322">
        <f t="shared" si="0"/>
        <v>3323.5833333333335</v>
      </c>
      <c r="C41" s="325">
        <v>300</v>
      </c>
      <c r="D41" s="328">
        <f t="shared" si="9"/>
        <v>997.075</v>
      </c>
      <c r="E41" s="328">
        <f t="shared" si="9"/>
        <v>997.075</v>
      </c>
      <c r="F41" s="328">
        <f t="shared" si="9"/>
        <v>997.075</v>
      </c>
      <c r="G41" s="325"/>
      <c r="H41" s="325"/>
      <c r="I41" s="325"/>
      <c r="J41" s="325"/>
      <c r="K41" s="325"/>
      <c r="L41" s="325"/>
      <c r="M41" s="325"/>
      <c r="N41" s="325"/>
      <c r="O41" s="325"/>
      <c r="P41" s="325"/>
      <c r="Q41" s="325"/>
      <c r="R41" s="325"/>
      <c r="S41" s="325"/>
      <c r="T41" s="325"/>
      <c r="U41" s="325"/>
      <c r="V41" s="325"/>
      <c r="W41" s="325"/>
      <c r="X41" s="325"/>
      <c r="Y41" s="325"/>
      <c r="Z41" s="325"/>
      <c r="AA41" s="325"/>
      <c r="AB41" s="325"/>
      <c r="AC41" s="325"/>
      <c r="AD41" s="325"/>
      <c r="AE41" s="325"/>
      <c r="AF41" s="325"/>
      <c r="AG41" s="325"/>
      <c r="AH41" s="325"/>
      <c r="AI41" s="325"/>
      <c r="AJ41" s="325"/>
      <c r="AK41" s="325"/>
      <c r="AL41" s="325"/>
      <c r="AM41" s="325"/>
      <c r="AN41" s="325"/>
      <c r="AO41" s="325"/>
      <c r="AP41" s="325"/>
      <c r="AQ41" s="323">
        <f t="shared" si="21"/>
        <v>997.075</v>
      </c>
      <c r="AR41" s="323">
        <f t="shared" si="21"/>
        <v>997.075</v>
      </c>
      <c r="AS41" s="323">
        <f t="shared" si="21"/>
        <v>997.075</v>
      </c>
      <c r="AT41" s="323">
        <f t="shared" si="21"/>
        <v>997.075</v>
      </c>
      <c r="AU41" s="323">
        <f t="shared" si="21"/>
        <v>997.075</v>
      </c>
      <c r="AV41" s="323">
        <f t="shared" si="21"/>
        <v>997.075</v>
      </c>
      <c r="AW41" s="323">
        <f t="shared" si="21"/>
        <v>997.075</v>
      </c>
      <c r="AX41" s="323">
        <f t="shared" si="4"/>
        <v>997.075</v>
      </c>
      <c r="AY41" s="323">
        <f t="shared" si="5"/>
        <v>997.075</v>
      </c>
      <c r="AZ41" s="323">
        <f t="shared" si="6"/>
        <v>997.075</v>
      </c>
      <c r="BA41" s="323">
        <f t="shared" si="7"/>
        <v>997.075</v>
      </c>
      <c r="BB41" s="323">
        <f t="shared" si="8"/>
        <v>997.075</v>
      </c>
      <c r="BC41" s="323">
        <f t="shared" si="11"/>
        <v>997.075</v>
      </c>
      <c r="BD41" s="323">
        <f t="shared" si="12"/>
        <v>997.075</v>
      </c>
      <c r="BE41" s="323">
        <f t="shared" si="13"/>
        <v>997.075</v>
      </c>
      <c r="BF41" s="323">
        <f t="shared" si="14"/>
        <v>997.075</v>
      </c>
      <c r="BG41" s="323">
        <f t="shared" si="15"/>
        <v>997.075</v>
      </c>
      <c r="BH41" s="323">
        <f t="shared" si="16"/>
        <v>997.075</v>
      </c>
      <c r="BI41" s="327">
        <f t="shared" si="17"/>
        <v>997.075</v>
      </c>
      <c r="BJ41" s="327">
        <f t="shared" si="18"/>
        <v>997.075</v>
      </c>
      <c r="BK41" s="327">
        <f t="shared" si="19"/>
        <v>997.075</v>
      </c>
      <c r="BL41" s="327">
        <f t="shared" si="20"/>
        <v>997.075</v>
      </c>
      <c r="BM41" s="327">
        <f t="shared" si="22"/>
        <v>997.075</v>
      </c>
      <c r="BN41" s="327">
        <f t="shared" si="23"/>
        <v>997.075</v>
      </c>
      <c r="BO41" s="327">
        <f t="shared" si="23"/>
        <v>997.075</v>
      </c>
      <c r="BP41" s="327">
        <f t="shared" si="23"/>
        <v>997.075</v>
      </c>
      <c r="BQ41" s="327">
        <f t="shared" si="23"/>
        <v>997.075</v>
      </c>
      <c r="BR41" s="327">
        <f t="shared" si="23"/>
        <v>997.075</v>
      </c>
      <c r="BS41" s="327">
        <f t="shared" si="23"/>
        <v>997.075</v>
      </c>
      <c r="BT41" s="327">
        <f t="shared" si="23"/>
        <v>997.075</v>
      </c>
      <c r="BU41" s="327">
        <f t="shared" si="23"/>
        <v>997.075</v>
      </c>
      <c r="BV41" s="327">
        <f t="shared" si="23"/>
        <v>997.075</v>
      </c>
      <c r="BW41" s="327">
        <f t="shared" si="23"/>
        <v>997.075</v>
      </c>
      <c r="BX41" s="327">
        <f t="shared" si="23"/>
        <v>997.075</v>
      </c>
      <c r="BY41" s="327">
        <f t="shared" si="23"/>
        <v>997.075</v>
      </c>
      <c r="BZ41" s="327">
        <f t="shared" si="23"/>
        <v>997.075</v>
      </c>
      <c r="CA41" s="325"/>
      <c r="CB41" s="325"/>
      <c r="CC41" s="325"/>
      <c r="CD41" s="325"/>
      <c r="CE41" s="325"/>
      <c r="CF41" s="325"/>
      <c r="CG41" s="325"/>
      <c r="CH41" s="325"/>
    </row>
    <row r="42" spans="1:86" ht="15">
      <c r="A42" s="326">
        <v>42856</v>
      </c>
      <c r="B42" s="322">
        <f t="shared" si="0"/>
        <v>3323.5833333333335</v>
      </c>
      <c r="C42" s="325">
        <v>300</v>
      </c>
      <c r="D42" s="328">
        <f t="shared" si="9"/>
        <v>997.075</v>
      </c>
      <c r="E42" s="328">
        <f t="shared" si="9"/>
        <v>997.075</v>
      </c>
      <c r="F42" s="328">
        <f t="shared" si="9"/>
        <v>997.075</v>
      </c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3">
        <f t="shared" si="21"/>
        <v>997.075</v>
      </c>
      <c r="AS42" s="323">
        <f t="shared" si="21"/>
        <v>997.075</v>
      </c>
      <c r="AT42" s="323">
        <f t="shared" si="21"/>
        <v>997.075</v>
      </c>
      <c r="AU42" s="323">
        <f t="shared" si="21"/>
        <v>997.075</v>
      </c>
      <c r="AV42" s="323">
        <f t="shared" si="21"/>
        <v>997.075</v>
      </c>
      <c r="AW42" s="323">
        <f t="shared" si="21"/>
        <v>997.075</v>
      </c>
      <c r="AX42" s="323">
        <f t="shared" si="4"/>
        <v>997.075</v>
      </c>
      <c r="AY42" s="323">
        <f t="shared" si="5"/>
        <v>997.075</v>
      </c>
      <c r="AZ42" s="323">
        <f t="shared" si="6"/>
        <v>997.075</v>
      </c>
      <c r="BA42" s="323">
        <f t="shared" si="7"/>
        <v>997.075</v>
      </c>
      <c r="BB42" s="323">
        <f t="shared" si="8"/>
        <v>997.075</v>
      </c>
      <c r="BC42" s="323">
        <f t="shared" si="11"/>
        <v>997.075</v>
      </c>
      <c r="BD42" s="323">
        <f t="shared" si="12"/>
        <v>997.075</v>
      </c>
      <c r="BE42" s="323">
        <f t="shared" si="13"/>
        <v>997.075</v>
      </c>
      <c r="BF42" s="323">
        <f t="shared" si="14"/>
        <v>997.075</v>
      </c>
      <c r="BG42" s="323">
        <f t="shared" si="15"/>
        <v>997.075</v>
      </c>
      <c r="BH42" s="323">
        <f t="shared" si="16"/>
        <v>997.075</v>
      </c>
      <c r="BI42" s="323">
        <f t="shared" si="17"/>
        <v>997.075</v>
      </c>
      <c r="BJ42" s="327">
        <f t="shared" si="18"/>
        <v>997.075</v>
      </c>
      <c r="BK42" s="327">
        <f t="shared" si="19"/>
        <v>997.075</v>
      </c>
      <c r="BL42" s="327">
        <f t="shared" si="20"/>
        <v>997.075</v>
      </c>
      <c r="BM42" s="327">
        <f t="shared" si="22"/>
        <v>997.075</v>
      </c>
      <c r="BN42" s="327">
        <f t="shared" si="23"/>
        <v>997.075</v>
      </c>
      <c r="BO42" s="327">
        <f t="shared" si="23"/>
        <v>997.075</v>
      </c>
      <c r="BP42" s="327">
        <f t="shared" si="23"/>
        <v>997.075</v>
      </c>
      <c r="BQ42" s="327">
        <f t="shared" si="23"/>
        <v>997.075</v>
      </c>
      <c r="BR42" s="327">
        <f t="shared" si="23"/>
        <v>997.075</v>
      </c>
      <c r="BS42" s="327">
        <f t="shared" si="23"/>
        <v>997.075</v>
      </c>
      <c r="BT42" s="327">
        <f t="shared" si="23"/>
        <v>997.075</v>
      </c>
      <c r="BU42" s="327">
        <f t="shared" si="23"/>
        <v>997.075</v>
      </c>
      <c r="BV42" s="327">
        <f t="shared" si="23"/>
        <v>997.075</v>
      </c>
      <c r="BW42" s="327">
        <f t="shared" si="23"/>
        <v>997.075</v>
      </c>
      <c r="BX42" s="327">
        <f t="shared" si="23"/>
        <v>997.075</v>
      </c>
      <c r="BY42" s="327">
        <f t="shared" si="23"/>
        <v>997.075</v>
      </c>
      <c r="BZ42" s="327">
        <f t="shared" si="23"/>
        <v>997.075</v>
      </c>
      <c r="CA42" s="327">
        <f t="shared" si="23"/>
        <v>997.075</v>
      </c>
      <c r="CB42" s="325"/>
      <c r="CC42" s="325"/>
      <c r="CD42" s="325"/>
      <c r="CE42" s="325"/>
      <c r="CF42" s="325"/>
      <c r="CG42" s="325"/>
      <c r="CH42" s="325"/>
    </row>
    <row r="43" spans="1:86" ht="15">
      <c r="A43" s="326">
        <v>42887</v>
      </c>
      <c r="B43" s="322">
        <f t="shared" si="0"/>
        <v>3323.5833333333335</v>
      </c>
      <c r="C43" s="325">
        <v>300</v>
      </c>
      <c r="D43" s="328">
        <f t="shared" si="9"/>
        <v>997.075</v>
      </c>
      <c r="E43" s="328">
        <f t="shared" si="9"/>
        <v>997.075</v>
      </c>
      <c r="F43" s="328">
        <f t="shared" si="9"/>
        <v>997.075</v>
      </c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5"/>
      <c r="AL43" s="325"/>
      <c r="AM43" s="325"/>
      <c r="AN43" s="325"/>
      <c r="AO43" s="325"/>
      <c r="AP43" s="325"/>
      <c r="AQ43" s="325"/>
      <c r="AR43" s="325"/>
      <c r="AS43" s="323">
        <f t="shared" si="21"/>
        <v>997.075</v>
      </c>
      <c r="AT43" s="323">
        <f t="shared" si="21"/>
        <v>997.075</v>
      </c>
      <c r="AU43" s="323">
        <f t="shared" si="21"/>
        <v>997.075</v>
      </c>
      <c r="AV43" s="323">
        <f t="shared" si="21"/>
        <v>997.075</v>
      </c>
      <c r="AW43" s="323">
        <f t="shared" si="21"/>
        <v>997.075</v>
      </c>
      <c r="AX43" s="323">
        <f t="shared" si="4"/>
        <v>997.075</v>
      </c>
      <c r="AY43" s="323">
        <f t="shared" si="5"/>
        <v>997.075</v>
      </c>
      <c r="AZ43" s="323">
        <f t="shared" si="6"/>
        <v>997.075</v>
      </c>
      <c r="BA43" s="323">
        <f t="shared" si="7"/>
        <v>997.075</v>
      </c>
      <c r="BB43" s="323">
        <f t="shared" si="8"/>
        <v>997.075</v>
      </c>
      <c r="BC43" s="323">
        <f t="shared" si="11"/>
        <v>997.075</v>
      </c>
      <c r="BD43" s="323">
        <f t="shared" si="12"/>
        <v>997.075</v>
      </c>
      <c r="BE43" s="323">
        <f t="shared" si="13"/>
        <v>997.075</v>
      </c>
      <c r="BF43" s="323">
        <f t="shared" si="14"/>
        <v>997.075</v>
      </c>
      <c r="BG43" s="323">
        <f t="shared" si="15"/>
        <v>997.075</v>
      </c>
      <c r="BH43" s="323">
        <f t="shared" si="16"/>
        <v>997.075</v>
      </c>
      <c r="BI43" s="323">
        <f t="shared" si="17"/>
        <v>997.075</v>
      </c>
      <c r="BJ43" s="323">
        <f t="shared" si="18"/>
        <v>997.075</v>
      </c>
      <c r="BK43" s="327">
        <f t="shared" si="19"/>
        <v>997.075</v>
      </c>
      <c r="BL43" s="327">
        <f t="shared" si="20"/>
        <v>997.075</v>
      </c>
      <c r="BM43" s="327">
        <f t="shared" si="22"/>
        <v>997.075</v>
      </c>
      <c r="BN43" s="327">
        <f t="shared" si="23"/>
        <v>997.075</v>
      </c>
      <c r="BO43" s="327">
        <f t="shared" si="23"/>
        <v>997.075</v>
      </c>
      <c r="BP43" s="327">
        <f t="shared" si="23"/>
        <v>997.075</v>
      </c>
      <c r="BQ43" s="327">
        <f t="shared" si="23"/>
        <v>997.075</v>
      </c>
      <c r="BR43" s="327">
        <f t="shared" si="23"/>
        <v>997.075</v>
      </c>
      <c r="BS43" s="327">
        <f t="shared" si="23"/>
        <v>997.075</v>
      </c>
      <c r="BT43" s="327">
        <f t="shared" si="23"/>
        <v>997.075</v>
      </c>
      <c r="BU43" s="327">
        <f t="shared" si="23"/>
        <v>997.075</v>
      </c>
      <c r="BV43" s="327">
        <f t="shared" si="23"/>
        <v>997.075</v>
      </c>
      <c r="BW43" s="327">
        <f t="shared" si="23"/>
        <v>997.075</v>
      </c>
      <c r="BX43" s="327">
        <f t="shared" si="23"/>
        <v>997.075</v>
      </c>
      <c r="BY43" s="327">
        <f t="shared" si="23"/>
        <v>997.075</v>
      </c>
      <c r="BZ43" s="327">
        <f t="shared" si="23"/>
        <v>997.075</v>
      </c>
      <c r="CA43" s="327">
        <f t="shared" si="23"/>
        <v>997.075</v>
      </c>
      <c r="CB43" s="327">
        <f t="shared" si="23"/>
        <v>997.075</v>
      </c>
      <c r="CC43" s="325"/>
      <c r="CD43" s="325"/>
      <c r="CE43" s="325"/>
      <c r="CF43" s="325"/>
      <c r="CG43" s="325"/>
      <c r="CH43" s="325"/>
    </row>
    <row r="44" spans="1:86" ht="15">
      <c r="A44" s="326">
        <v>42917</v>
      </c>
      <c r="B44" s="322">
        <f t="shared" si="0"/>
        <v>3323.5833333333335</v>
      </c>
      <c r="C44" s="325">
        <v>300</v>
      </c>
      <c r="D44" s="328">
        <f t="shared" si="9"/>
        <v>997.075</v>
      </c>
      <c r="E44" s="328">
        <f t="shared" si="9"/>
        <v>997.075</v>
      </c>
      <c r="F44" s="328">
        <f t="shared" si="9"/>
        <v>997.075</v>
      </c>
      <c r="G44" s="325"/>
      <c r="H44" s="325"/>
      <c r="I44" s="325"/>
      <c r="J44" s="325"/>
      <c r="K44" s="325"/>
      <c r="L44" s="325"/>
      <c r="M44" s="325"/>
      <c r="N44" s="325"/>
      <c r="O44" s="325"/>
      <c r="P44" s="325"/>
      <c r="Q44" s="325"/>
      <c r="R44" s="325"/>
      <c r="S44" s="325"/>
      <c r="T44" s="325"/>
      <c r="U44" s="325"/>
      <c r="V44" s="325"/>
      <c r="W44" s="325"/>
      <c r="X44" s="325"/>
      <c r="Y44" s="325"/>
      <c r="Z44" s="325"/>
      <c r="AA44" s="325"/>
      <c r="AB44" s="325"/>
      <c r="AC44" s="325"/>
      <c r="AD44" s="325"/>
      <c r="AE44" s="325"/>
      <c r="AF44" s="325"/>
      <c r="AG44" s="325"/>
      <c r="AH44" s="325"/>
      <c r="AI44" s="325"/>
      <c r="AJ44" s="325"/>
      <c r="AK44" s="325"/>
      <c r="AL44" s="325"/>
      <c r="AM44" s="325"/>
      <c r="AN44" s="325"/>
      <c r="AO44" s="325"/>
      <c r="AP44" s="325"/>
      <c r="AQ44" s="325"/>
      <c r="AR44" s="325"/>
      <c r="AS44" s="325"/>
      <c r="AT44" s="323">
        <f>$B$1*$C$2/1000</f>
        <v>997.075</v>
      </c>
      <c r="AU44" s="323">
        <f>$B$1*$C$2/1000</f>
        <v>997.075</v>
      </c>
      <c r="AV44" s="323">
        <f>$B$1*$C$2/1000</f>
        <v>997.075</v>
      </c>
      <c r="AW44" s="323">
        <f>$B$1*$C$2/1000</f>
        <v>997.075</v>
      </c>
      <c r="AX44" s="323">
        <f t="shared" si="4"/>
        <v>997.075</v>
      </c>
      <c r="AY44" s="323">
        <f t="shared" si="5"/>
        <v>997.075</v>
      </c>
      <c r="AZ44" s="323">
        <f t="shared" si="6"/>
        <v>997.075</v>
      </c>
      <c r="BA44" s="323">
        <f t="shared" si="7"/>
        <v>997.075</v>
      </c>
      <c r="BB44" s="323">
        <f t="shared" si="8"/>
        <v>997.075</v>
      </c>
      <c r="BC44" s="323">
        <f t="shared" si="11"/>
        <v>997.075</v>
      </c>
      <c r="BD44" s="323">
        <f t="shared" si="12"/>
        <v>997.075</v>
      </c>
      <c r="BE44" s="323">
        <f t="shared" si="13"/>
        <v>997.075</v>
      </c>
      <c r="BF44" s="323">
        <f t="shared" si="14"/>
        <v>997.075</v>
      </c>
      <c r="BG44" s="323">
        <f t="shared" si="15"/>
        <v>997.075</v>
      </c>
      <c r="BH44" s="323">
        <f t="shared" si="16"/>
        <v>997.075</v>
      </c>
      <c r="BI44" s="323">
        <f t="shared" si="17"/>
        <v>997.075</v>
      </c>
      <c r="BJ44" s="323">
        <f t="shared" si="18"/>
        <v>997.075</v>
      </c>
      <c r="BK44" s="323">
        <f t="shared" si="19"/>
        <v>997.075</v>
      </c>
      <c r="BL44" s="327">
        <f t="shared" si="20"/>
        <v>997.075</v>
      </c>
      <c r="BM44" s="327">
        <f t="shared" si="22"/>
        <v>997.075</v>
      </c>
      <c r="BN44" s="327">
        <f t="shared" si="23"/>
        <v>997.075</v>
      </c>
      <c r="BO44" s="327">
        <f t="shared" si="23"/>
        <v>997.075</v>
      </c>
      <c r="BP44" s="327">
        <f t="shared" si="23"/>
        <v>997.075</v>
      </c>
      <c r="BQ44" s="327">
        <f t="shared" si="23"/>
        <v>997.075</v>
      </c>
      <c r="BR44" s="327">
        <f t="shared" si="23"/>
        <v>997.075</v>
      </c>
      <c r="BS44" s="327">
        <f t="shared" si="23"/>
        <v>997.075</v>
      </c>
      <c r="BT44" s="327">
        <f t="shared" si="23"/>
        <v>997.075</v>
      </c>
      <c r="BU44" s="327">
        <f t="shared" si="23"/>
        <v>997.075</v>
      </c>
      <c r="BV44" s="327">
        <f t="shared" si="23"/>
        <v>997.075</v>
      </c>
      <c r="BW44" s="327">
        <f t="shared" si="23"/>
        <v>997.075</v>
      </c>
      <c r="BX44" s="327">
        <f t="shared" si="23"/>
        <v>997.075</v>
      </c>
      <c r="BY44" s="327">
        <f t="shared" si="23"/>
        <v>997.075</v>
      </c>
      <c r="BZ44" s="327">
        <f t="shared" si="23"/>
        <v>997.075</v>
      </c>
      <c r="CA44" s="327">
        <f t="shared" si="23"/>
        <v>997.075</v>
      </c>
      <c r="CB44" s="327">
        <f t="shared" si="23"/>
        <v>997.075</v>
      </c>
      <c r="CC44" s="327">
        <f t="shared" si="23"/>
        <v>997.075</v>
      </c>
      <c r="CD44" s="325"/>
      <c r="CE44" s="325"/>
      <c r="CF44" s="325"/>
      <c r="CG44" s="325"/>
      <c r="CH44" s="325"/>
    </row>
    <row r="45" spans="1:86" ht="15">
      <c r="A45" s="326">
        <v>42948</v>
      </c>
      <c r="B45" s="322">
        <f t="shared" si="0"/>
        <v>3323.5833333333335</v>
      </c>
      <c r="C45" s="325">
        <v>300</v>
      </c>
      <c r="D45" s="328">
        <f t="shared" si="9"/>
        <v>997.075</v>
      </c>
      <c r="E45" s="328">
        <f t="shared" si="9"/>
        <v>997.075</v>
      </c>
      <c r="F45" s="328">
        <f t="shared" si="9"/>
        <v>997.075</v>
      </c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  <c r="AP45" s="325"/>
      <c r="AQ45" s="325"/>
      <c r="AR45" s="325"/>
      <c r="AS45" s="325"/>
      <c r="AT45" s="325"/>
      <c r="AU45" s="323">
        <f>$B$1*$C$2/1000</f>
        <v>997.075</v>
      </c>
      <c r="AV45" s="323">
        <f>$B$1*$C$2/1000</f>
        <v>997.075</v>
      </c>
      <c r="AW45" s="323">
        <f>$B$1*$C$2/1000</f>
        <v>997.075</v>
      </c>
      <c r="AX45" s="323">
        <f t="shared" si="4"/>
        <v>997.075</v>
      </c>
      <c r="AY45" s="323">
        <f t="shared" si="5"/>
        <v>997.075</v>
      </c>
      <c r="AZ45" s="323">
        <f t="shared" si="6"/>
        <v>997.075</v>
      </c>
      <c r="BA45" s="323">
        <f t="shared" si="7"/>
        <v>997.075</v>
      </c>
      <c r="BB45" s="323">
        <f t="shared" si="8"/>
        <v>997.075</v>
      </c>
      <c r="BC45" s="323">
        <f t="shared" si="11"/>
        <v>997.075</v>
      </c>
      <c r="BD45" s="323">
        <f t="shared" si="12"/>
        <v>997.075</v>
      </c>
      <c r="BE45" s="323">
        <f t="shared" si="13"/>
        <v>997.075</v>
      </c>
      <c r="BF45" s="323">
        <f t="shared" si="14"/>
        <v>997.075</v>
      </c>
      <c r="BG45" s="323">
        <f t="shared" si="15"/>
        <v>997.075</v>
      </c>
      <c r="BH45" s="323">
        <f t="shared" si="16"/>
        <v>997.075</v>
      </c>
      <c r="BI45" s="323">
        <f t="shared" si="17"/>
        <v>997.075</v>
      </c>
      <c r="BJ45" s="323">
        <f t="shared" si="18"/>
        <v>997.075</v>
      </c>
      <c r="BK45" s="323">
        <f t="shared" si="19"/>
        <v>997.075</v>
      </c>
      <c r="BL45" s="323">
        <f t="shared" si="20"/>
        <v>997.075</v>
      </c>
      <c r="BM45" s="327">
        <f t="shared" si="22"/>
        <v>997.075</v>
      </c>
      <c r="BN45" s="327">
        <f t="shared" si="23"/>
        <v>997.075</v>
      </c>
      <c r="BO45" s="327">
        <f t="shared" si="23"/>
        <v>997.075</v>
      </c>
      <c r="BP45" s="327">
        <f t="shared" si="23"/>
        <v>997.075</v>
      </c>
      <c r="BQ45" s="327">
        <f t="shared" si="23"/>
        <v>997.075</v>
      </c>
      <c r="BR45" s="327">
        <f t="shared" si="23"/>
        <v>997.075</v>
      </c>
      <c r="BS45" s="327">
        <f t="shared" si="23"/>
        <v>997.075</v>
      </c>
      <c r="BT45" s="327">
        <f t="shared" si="23"/>
        <v>997.075</v>
      </c>
      <c r="BU45" s="327">
        <f t="shared" si="23"/>
        <v>997.075</v>
      </c>
      <c r="BV45" s="327">
        <f t="shared" si="23"/>
        <v>997.075</v>
      </c>
      <c r="BW45" s="327">
        <f t="shared" si="23"/>
        <v>997.075</v>
      </c>
      <c r="BX45" s="327">
        <f t="shared" si="23"/>
        <v>997.075</v>
      </c>
      <c r="BY45" s="327">
        <f t="shared" si="23"/>
        <v>997.075</v>
      </c>
      <c r="BZ45" s="327">
        <f t="shared" si="23"/>
        <v>997.075</v>
      </c>
      <c r="CA45" s="327">
        <f t="shared" si="23"/>
        <v>997.075</v>
      </c>
      <c r="CB45" s="327">
        <f t="shared" si="23"/>
        <v>997.075</v>
      </c>
      <c r="CC45" s="327">
        <f t="shared" si="23"/>
        <v>997.075</v>
      </c>
      <c r="CD45" s="327">
        <f>$B$1*$C$2/1000</f>
        <v>997.075</v>
      </c>
      <c r="CE45" s="325"/>
      <c r="CF45" s="325"/>
      <c r="CG45" s="325"/>
      <c r="CH45" s="325"/>
    </row>
    <row r="46" spans="1:86" ht="15">
      <c r="A46" s="326">
        <v>42979</v>
      </c>
      <c r="B46" s="322">
        <f t="shared" si="0"/>
        <v>3323.5833333333335</v>
      </c>
      <c r="C46" s="325">
        <v>300</v>
      </c>
      <c r="D46" s="328">
        <f t="shared" si="9"/>
        <v>997.075</v>
      </c>
      <c r="E46" s="328">
        <f t="shared" si="9"/>
        <v>997.075</v>
      </c>
      <c r="F46" s="328">
        <f t="shared" si="9"/>
        <v>997.075</v>
      </c>
      <c r="G46" s="325"/>
      <c r="H46" s="325"/>
      <c r="I46" s="325"/>
      <c r="J46" s="325"/>
      <c r="K46" s="325"/>
      <c r="L46" s="325"/>
      <c r="M46" s="325"/>
      <c r="N46" s="325"/>
      <c r="O46" s="325"/>
      <c r="P46" s="325"/>
      <c r="Q46" s="325"/>
      <c r="R46" s="325"/>
      <c r="S46" s="325"/>
      <c r="T46" s="325"/>
      <c r="U46" s="325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  <c r="AP46" s="325"/>
      <c r="AQ46" s="325"/>
      <c r="AR46" s="325"/>
      <c r="AS46" s="325"/>
      <c r="AT46" s="325"/>
      <c r="AU46" s="325"/>
      <c r="AV46" s="323">
        <f>$B$1*$C$2/1000</f>
        <v>997.075</v>
      </c>
      <c r="AW46" s="323">
        <f>$B$1*$C$2/1000</f>
        <v>997.075</v>
      </c>
      <c r="AX46" s="323">
        <f t="shared" si="4"/>
        <v>997.075</v>
      </c>
      <c r="AY46" s="323">
        <f t="shared" si="5"/>
        <v>997.075</v>
      </c>
      <c r="AZ46" s="323">
        <f t="shared" si="6"/>
        <v>997.075</v>
      </c>
      <c r="BA46" s="323">
        <f t="shared" si="7"/>
        <v>997.075</v>
      </c>
      <c r="BB46" s="323">
        <f t="shared" si="8"/>
        <v>997.075</v>
      </c>
      <c r="BC46" s="323">
        <f t="shared" si="11"/>
        <v>997.075</v>
      </c>
      <c r="BD46" s="323">
        <f t="shared" si="12"/>
        <v>997.075</v>
      </c>
      <c r="BE46" s="323">
        <f t="shared" si="13"/>
        <v>997.075</v>
      </c>
      <c r="BF46" s="323">
        <f t="shared" si="14"/>
        <v>997.075</v>
      </c>
      <c r="BG46" s="323">
        <f t="shared" si="15"/>
        <v>997.075</v>
      </c>
      <c r="BH46" s="323">
        <f t="shared" si="16"/>
        <v>997.075</v>
      </c>
      <c r="BI46" s="323">
        <f t="shared" si="17"/>
        <v>997.075</v>
      </c>
      <c r="BJ46" s="323">
        <f t="shared" si="18"/>
        <v>997.075</v>
      </c>
      <c r="BK46" s="323">
        <f t="shared" si="19"/>
        <v>997.075</v>
      </c>
      <c r="BL46" s="323">
        <f t="shared" si="20"/>
        <v>997.075</v>
      </c>
      <c r="BM46" s="323">
        <f t="shared" si="22"/>
        <v>997.075</v>
      </c>
      <c r="BN46" s="327">
        <f t="shared" si="23"/>
        <v>997.075</v>
      </c>
      <c r="BO46" s="327">
        <f t="shared" si="23"/>
        <v>997.075</v>
      </c>
      <c r="BP46" s="327">
        <f t="shared" si="23"/>
        <v>997.075</v>
      </c>
      <c r="BQ46" s="327">
        <f t="shared" si="23"/>
        <v>997.075</v>
      </c>
      <c r="BR46" s="327">
        <f t="shared" si="23"/>
        <v>997.075</v>
      </c>
      <c r="BS46" s="327">
        <f t="shared" si="23"/>
        <v>997.075</v>
      </c>
      <c r="BT46" s="327">
        <f t="shared" si="23"/>
        <v>997.075</v>
      </c>
      <c r="BU46" s="327">
        <f t="shared" si="23"/>
        <v>997.075</v>
      </c>
      <c r="BV46" s="327">
        <f t="shared" si="23"/>
        <v>997.075</v>
      </c>
      <c r="BW46" s="327">
        <f t="shared" si="23"/>
        <v>997.075</v>
      </c>
      <c r="BX46" s="327">
        <f t="shared" si="23"/>
        <v>997.075</v>
      </c>
      <c r="BY46" s="327">
        <f t="shared" si="23"/>
        <v>997.075</v>
      </c>
      <c r="BZ46" s="327">
        <f t="shared" si="23"/>
        <v>997.075</v>
      </c>
      <c r="CA46" s="327">
        <f t="shared" si="23"/>
        <v>997.075</v>
      </c>
      <c r="CB46" s="327">
        <f t="shared" si="23"/>
        <v>997.075</v>
      </c>
      <c r="CC46" s="327">
        <f t="shared" si="23"/>
        <v>997.075</v>
      </c>
      <c r="CD46" s="327">
        <f>$B$1*$C$2/1000</f>
        <v>997.075</v>
      </c>
      <c r="CE46" s="327">
        <f>$B$1*$C$2/1000</f>
        <v>997.075</v>
      </c>
      <c r="CF46" s="325"/>
      <c r="CG46" s="325"/>
      <c r="CH46" s="325"/>
    </row>
    <row r="47" spans="1:86" ht="15">
      <c r="A47" s="326">
        <v>43009</v>
      </c>
      <c r="B47" s="322">
        <f t="shared" si="0"/>
        <v>3323.5833333333335</v>
      </c>
      <c r="C47" s="325">
        <v>300</v>
      </c>
      <c r="D47" s="328">
        <f t="shared" si="9"/>
        <v>997.075</v>
      </c>
      <c r="E47" s="328">
        <f t="shared" si="9"/>
        <v>997.075</v>
      </c>
      <c r="F47" s="328">
        <f t="shared" si="9"/>
        <v>997.075</v>
      </c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  <c r="AP47" s="325"/>
      <c r="AQ47" s="325"/>
      <c r="AR47" s="325"/>
      <c r="AS47" s="325"/>
      <c r="AT47" s="325"/>
      <c r="AU47" s="325"/>
      <c r="AV47" s="325"/>
      <c r="AW47" s="323">
        <f>$B$1*$C$2/1000</f>
        <v>997.075</v>
      </c>
      <c r="AX47" s="323">
        <f t="shared" si="4"/>
        <v>997.075</v>
      </c>
      <c r="AY47" s="323">
        <f t="shared" si="5"/>
        <v>997.075</v>
      </c>
      <c r="AZ47" s="323">
        <f t="shared" si="6"/>
        <v>997.075</v>
      </c>
      <c r="BA47" s="323">
        <f t="shared" si="7"/>
        <v>997.075</v>
      </c>
      <c r="BB47" s="323">
        <f t="shared" si="8"/>
        <v>997.075</v>
      </c>
      <c r="BC47" s="323">
        <f t="shared" si="11"/>
        <v>997.075</v>
      </c>
      <c r="BD47" s="323">
        <f t="shared" si="12"/>
        <v>997.075</v>
      </c>
      <c r="BE47" s="323">
        <f t="shared" si="13"/>
        <v>997.075</v>
      </c>
      <c r="BF47" s="323">
        <f t="shared" si="14"/>
        <v>997.075</v>
      </c>
      <c r="BG47" s="323">
        <f t="shared" si="15"/>
        <v>997.075</v>
      </c>
      <c r="BH47" s="323">
        <f t="shared" si="16"/>
        <v>997.075</v>
      </c>
      <c r="BI47" s="323">
        <f t="shared" si="17"/>
        <v>997.075</v>
      </c>
      <c r="BJ47" s="323">
        <f t="shared" si="18"/>
        <v>997.075</v>
      </c>
      <c r="BK47" s="323">
        <f t="shared" si="19"/>
        <v>997.075</v>
      </c>
      <c r="BL47" s="323">
        <f t="shared" si="20"/>
        <v>997.075</v>
      </c>
      <c r="BM47" s="323">
        <f t="shared" si="22"/>
        <v>997.075</v>
      </c>
      <c r="BN47" s="323">
        <f t="shared" si="23"/>
        <v>997.075</v>
      </c>
      <c r="BO47" s="327">
        <f t="shared" si="23"/>
        <v>997.075</v>
      </c>
      <c r="BP47" s="327">
        <f t="shared" si="23"/>
        <v>997.075</v>
      </c>
      <c r="BQ47" s="327">
        <f t="shared" si="23"/>
        <v>997.075</v>
      </c>
      <c r="BR47" s="327">
        <f t="shared" si="23"/>
        <v>997.075</v>
      </c>
      <c r="BS47" s="327">
        <f t="shared" si="23"/>
        <v>997.075</v>
      </c>
      <c r="BT47" s="327">
        <f t="shared" si="23"/>
        <v>997.075</v>
      </c>
      <c r="BU47" s="327">
        <f t="shared" si="23"/>
        <v>997.075</v>
      </c>
      <c r="BV47" s="327">
        <f t="shared" si="23"/>
        <v>997.075</v>
      </c>
      <c r="BW47" s="327">
        <f t="shared" si="23"/>
        <v>997.075</v>
      </c>
      <c r="BX47" s="327">
        <f t="shared" si="23"/>
        <v>997.075</v>
      </c>
      <c r="BY47" s="327">
        <f t="shared" si="23"/>
        <v>997.075</v>
      </c>
      <c r="BZ47" s="327">
        <f t="shared" si="23"/>
        <v>997.075</v>
      </c>
      <c r="CA47" s="327">
        <f t="shared" si="23"/>
        <v>997.075</v>
      </c>
      <c r="CB47" s="327">
        <f t="shared" si="23"/>
        <v>997.075</v>
      </c>
      <c r="CC47" s="327">
        <f t="shared" si="23"/>
        <v>997.075</v>
      </c>
      <c r="CD47" s="327">
        <f>$B$1*$C$2/1000</f>
        <v>997.075</v>
      </c>
      <c r="CE47" s="327">
        <f>$B$1*$C$2/1000</f>
        <v>997.075</v>
      </c>
      <c r="CF47" s="327">
        <f>$B$1*$C$2/1000</f>
        <v>997.075</v>
      </c>
      <c r="CG47" s="325"/>
      <c r="CH47" s="325"/>
    </row>
    <row r="48" spans="1:86" ht="15">
      <c r="A48" s="326">
        <v>43040</v>
      </c>
      <c r="B48" s="322">
        <f t="shared" si="0"/>
        <v>3323.5833333333335</v>
      </c>
      <c r="C48" s="325">
        <v>300</v>
      </c>
      <c r="D48" s="328">
        <f t="shared" si="9"/>
        <v>997.075</v>
      </c>
      <c r="E48" s="328">
        <f t="shared" si="9"/>
        <v>997.075</v>
      </c>
      <c r="F48" s="328">
        <f t="shared" si="9"/>
        <v>997.075</v>
      </c>
      <c r="G48" s="325"/>
      <c r="H48" s="325"/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  <c r="AP48" s="325"/>
      <c r="AQ48" s="325"/>
      <c r="AR48" s="325"/>
      <c r="AS48" s="325"/>
      <c r="AT48" s="325"/>
      <c r="AU48" s="325"/>
      <c r="AV48" s="325"/>
      <c r="AW48" s="325"/>
      <c r="AX48" s="323">
        <f t="shared" si="4"/>
        <v>997.075</v>
      </c>
      <c r="AY48" s="323">
        <f t="shared" si="5"/>
        <v>997.075</v>
      </c>
      <c r="AZ48" s="323">
        <f t="shared" si="6"/>
        <v>997.075</v>
      </c>
      <c r="BA48" s="323">
        <f t="shared" si="7"/>
        <v>997.075</v>
      </c>
      <c r="BB48" s="323">
        <f t="shared" si="8"/>
        <v>997.075</v>
      </c>
      <c r="BC48" s="323">
        <f t="shared" si="11"/>
        <v>997.075</v>
      </c>
      <c r="BD48" s="323">
        <f t="shared" si="12"/>
        <v>997.075</v>
      </c>
      <c r="BE48" s="323">
        <f t="shared" si="13"/>
        <v>997.075</v>
      </c>
      <c r="BF48" s="323">
        <f t="shared" si="14"/>
        <v>997.075</v>
      </c>
      <c r="BG48" s="323">
        <f t="shared" si="15"/>
        <v>997.075</v>
      </c>
      <c r="BH48" s="323">
        <f t="shared" si="16"/>
        <v>997.075</v>
      </c>
      <c r="BI48" s="323">
        <f t="shared" si="17"/>
        <v>997.075</v>
      </c>
      <c r="BJ48" s="323">
        <f t="shared" si="18"/>
        <v>997.075</v>
      </c>
      <c r="BK48" s="323">
        <f t="shared" si="19"/>
        <v>997.075</v>
      </c>
      <c r="BL48" s="323">
        <f t="shared" si="20"/>
        <v>997.075</v>
      </c>
      <c r="BM48" s="323">
        <f t="shared" si="22"/>
        <v>997.075</v>
      </c>
      <c r="BN48" s="323">
        <f t="shared" si="23"/>
        <v>997.075</v>
      </c>
      <c r="BO48" s="323">
        <f t="shared" si="23"/>
        <v>997.075</v>
      </c>
      <c r="BP48" s="327">
        <f t="shared" si="23"/>
        <v>997.075</v>
      </c>
      <c r="BQ48" s="327">
        <f t="shared" si="23"/>
        <v>997.075</v>
      </c>
      <c r="BR48" s="327">
        <f t="shared" si="23"/>
        <v>997.075</v>
      </c>
      <c r="BS48" s="327">
        <f t="shared" si="23"/>
        <v>997.075</v>
      </c>
      <c r="BT48" s="327">
        <f t="shared" si="23"/>
        <v>997.075</v>
      </c>
      <c r="BU48" s="327">
        <f t="shared" si="23"/>
        <v>997.075</v>
      </c>
      <c r="BV48" s="327">
        <f t="shared" si="23"/>
        <v>997.075</v>
      </c>
      <c r="BW48" s="327">
        <f t="shared" si="23"/>
        <v>997.075</v>
      </c>
      <c r="BX48" s="327">
        <f t="shared" si="23"/>
        <v>997.075</v>
      </c>
      <c r="BY48" s="327">
        <f t="shared" si="23"/>
        <v>997.075</v>
      </c>
      <c r="BZ48" s="327">
        <f t="shared" si="23"/>
        <v>997.075</v>
      </c>
      <c r="CA48" s="327">
        <f t="shared" si="23"/>
        <v>997.075</v>
      </c>
      <c r="CB48" s="327">
        <f t="shared" si="23"/>
        <v>997.075</v>
      </c>
      <c r="CC48" s="327">
        <f t="shared" si="23"/>
        <v>997.075</v>
      </c>
      <c r="CD48" s="327">
        <f>$B$1*$C$2/1000</f>
        <v>997.075</v>
      </c>
      <c r="CE48" s="327">
        <f>$B$1*$C$2/1000</f>
        <v>997.075</v>
      </c>
      <c r="CF48" s="327">
        <f>$B$1*$C$2/1000</f>
        <v>997.075</v>
      </c>
      <c r="CG48" s="327">
        <f>$B$1*$C$2/1000</f>
        <v>997.075</v>
      </c>
      <c r="CH48" s="325"/>
    </row>
    <row r="49" spans="1:86" ht="15">
      <c r="A49" s="326">
        <v>43070</v>
      </c>
      <c r="B49" s="322">
        <f t="shared" si="0"/>
        <v>3323.5833333333335</v>
      </c>
      <c r="C49" s="325">
        <v>300</v>
      </c>
      <c r="D49" s="328">
        <f t="shared" si="9"/>
        <v>997.075</v>
      </c>
      <c r="E49" s="328">
        <f t="shared" si="9"/>
        <v>997.075</v>
      </c>
      <c r="F49" s="328">
        <f t="shared" si="9"/>
        <v>997.075</v>
      </c>
      <c r="G49" s="325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3">
        <f t="shared" si="5"/>
        <v>997.075</v>
      </c>
      <c r="AZ49" s="323">
        <f t="shared" si="6"/>
        <v>997.075</v>
      </c>
      <c r="BA49" s="323">
        <f t="shared" si="7"/>
        <v>997.075</v>
      </c>
      <c r="BB49" s="323">
        <f t="shared" si="8"/>
        <v>997.075</v>
      </c>
      <c r="BC49" s="323">
        <f t="shared" si="11"/>
        <v>997.075</v>
      </c>
      <c r="BD49" s="323">
        <f t="shared" si="12"/>
        <v>997.075</v>
      </c>
      <c r="BE49" s="323">
        <f t="shared" si="13"/>
        <v>997.075</v>
      </c>
      <c r="BF49" s="323">
        <f t="shared" si="14"/>
        <v>997.075</v>
      </c>
      <c r="BG49" s="323">
        <f t="shared" si="15"/>
        <v>997.075</v>
      </c>
      <c r="BH49" s="323">
        <f t="shared" si="16"/>
        <v>997.075</v>
      </c>
      <c r="BI49" s="323">
        <f t="shared" si="17"/>
        <v>997.075</v>
      </c>
      <c r="BJ49" s="323">
        <f t="shared" si="18"/>
        <v>997.075</v>
      </c>
      <c r="BK49" s="323">
        <f t="shared" si="19"/>
        <v>997.075</v>
      </c>
      <c r="BL49" s="323">
        <f t="shared" si="20"/>
        <v>997.075</v>
      </c>
      <c r="BM49" s="323">
        <f t="shared" si="22"/>
        <v>997.075</v>
      </c>
      <c r="BN49" s="323">
        <f t="shared" si="23"/>
        <v>997.075</v>
      </c>
      <c r="BO49" s="323">
        <f t="shared" si="23"/>
        <v>997.075</v>
      </c>
      <c r="BP49" s="323">
        <f t="shared" si="23"/>
        <v>997.075</v>
      </c>
      <c r="BQ49" s="327">
        <f t="shared" si="23"/>
        <v>997.075</v>
      </c>
      <c r="BR49" s="327">
        <f t="shared" si="23"/>
        <v>997.075</v>
      </c>
      <c r="BS49" s="327">
        <f t="shared" si="23"/>
        <v>997.075</v>
      </c>
      <c r="BT49" s="327">
        <f t="shared" si="23"/>
        <v>997.075</v>
      </c>
      <c r="BU49" s="327">
        <f t="shared" si="23"/>
        <v>997.075</v>
      </c>
      <c r="BV49" s="327">
        <f t="shared" si="23"/>
        <v>997.075</v>
      </c>
      <c r="BW49" s="327">
        <f t="shared" si="23"/>
        <v>997.075</v>
      </c>
      <c r="BX49" s="327">
        <f t="shared" si="23"/>
        <v>997.075</v>
      </c>
      <c r="BY49" s="327">
        <f t="shared" si="23"/>
        <v>997.075</v>
      </c>
      <c r="BZ49" s="327">
        <f t="shared" si="23"/>
        <v>997.075</v>
      </c>
      <c r="CA49" s="327">
        <f t="shared" si="23"/>
        <v>997.075</v>
      </c>
      <c r="CB49" s="327">
        <f t="shared" si="23"/>
        <v>997.075</v>
      </c>
      <c r="CC49" s="327">
        <f t="shared" si="23"/>
        <v>997.075</v>
      </c>
      <c r="CD49" s="327">
        <f>$B$1*$C$2/1000</f>
        <v>997.075</v>
      </c>
      <c r="CE49" s="327">
        <f>$B$1*$C$2/1000</f>
        <v>997.075</v>
      </c>
      <c r="CF49" s="327">
        <f>$B$1*$C$2/1000</f>
        <v>997.075</v>
      </c>
      <c r="CG49" s="327">
        <f>$B$1*$C$2/1000</f>
        <v>997.075</v>
      </c>
      <c r="CH49" s="327">
        <f>$B$1*$C$2/1000</f>
        <v>997.075</v>
      </c>
    </row>
    <row r="50" spans="4:68" ht="15">
      <c r="D50" s="329">
        <f>SUM(D2:D49)</f>
        <v>47859.59999999997</v>
      </c>
      <c r="E50" s="329">
        <f>SUM(E2:E49)</f>
        <v>47859.59999999997</v>
      </c>
      <c r="T50" s="329"/>
      <c r="U50" s="329">
        <f>SUM(U2:U49)</f>
        <v>17947.350000000006</v>
      </c>
      <c r="V50" s="329">
        <f>SUM(V2:V49)</f>
        <v>18944.425000000007</v>
      </c>
      <c r="W50" s="329">
        <f aca="true" t="shared" si="24" ref="W50:AY50">SUM(W2:W49)</f>
        <v>19941.500000000007</v>
      </c>
      <c r="X50" s="329">
        <f t="shared" si="24"/>
        <v>20938.575000000008</v>
      </c>
      <c r="Y50" s="329">
        <f t="shared" si="24"/>
        <v>21935.65000000001</v>
      </c>
      <c r="Z50" s="329">
        <f t="shared" si="24"/>
        <v>22932.72500000001</v>
      </c>
      <c r="AA50" s="329">
        <f t="shared" si="24"/>
        <v>23929.80000000001</v>
      </c>
      <c r="AB50" s="329">
        <f t="shared" si="24"/>
        <v>24926.87500000001</v>
      </c>
      <c r="AC50" s="329">
        <f t="shared" si="24"/>
        <v>25923.95000000001</v>
      </c>
      <c r="AD50" s="329">
        <f t="shared" si="24"/>
        <v>26921.025000000012</v>
      </c>
      <c r="AE50" s="329">
        <f t="shared" si="24"/>
        <v>27918.100000000013</v>
      </c>
      <c r="AF50" s="329">
        <f t="shared" si="24"/>
        <v>28915.175000000014</v>
      </c>
      <c r="AG50" s="329">
        <f t="shared" si="24"/>
        <v>29912.250000000015</v>
      </c>
      <c r="AH50" s="329">
        <f t="shared" si="24"/>
        <v>30909.325000000015</v>
      </c>
      <c r="AI50" s="329">
        <f t="shared" si="24"/>
        <v>31906.400000000016</v>
      </c>
      <c r="AJ50" s="329">
        <f t="shared" si="24"/>
        <v>32903.47500000001</v>
      </c>
      <c r="AK50" s="329">
        <f t="shared" si="24"/>
        <v>33900.55000000001</v>
      </c>
      <c r="AL50" s="329">
        <f t="shared" si="24"/>
        <v>34897.62500000001</v>
      </c>
      <c r="AM50" s="329">
        <f t="shared" si="24"/>
        <v>35894.700000000004</v>
      </c>
      <c r="AN50" s="329">
        <f t="shared" si="24"/>
        <v>35894.700000000004</v>
      </c>
      <c r="AO50" s="329">
        <f t="shared" si="24"/>
        <v>35894.700000000004</v>
      </c>
      <c r="AP50" s="329">
        <f t="shared" si="24"/>
        <v>35894.700000000004</v>
      </c>
      <c r="AQ50" s="329">
        <f t="shared" si="24"/>
        <v>35894.700000000004</v>
      </c>
      <c r="AR50" s="329">
        <f t="shared" si="24"/>
        <v>35894.700000000004</v>
      </c>
      <c r="AS50" s="329">
        <f t="shared" si="24"/>
        <v>35894.700000000004</v>
      </c>
      <c r="AT50" s="329">
        <f t="shared" si="24"/>
        <v>35894.700000000004</v>
      </c>
      <c r="AU50" s="329">
        <f t="shared" si="24"/>
        <v>35894.700000000004</v>
      </c>
      <c r="AV50" s="329">
        <f t="shared" si="24"/>
        <v>35894.700000000004</v>
      </c>
      <c r="AW50" s="329">
        <f t="shared" si="24"/>
        <v>35894.700000000004</v>
      </c>
      <c r="AX50" s="329">
        <f t="shared" si="24"/>
        <v>35894.700000000004</v>
      </c>
      <c r="AY50" s="329">
        <f t="shared" si="24"/>
        <v>35894.700000000004</v>
      </c>
      <c r="AZ50" s="329"/>
      <c r="BA50" s="329"/>
      <c r="BB50" s="329"/>
      <c r="BC50" s="329"/>
      <c r="BD50" s="329"/>
      <c r="BE50" s="329"/>
      <c r="BF50" s="329"/>
      <c r="BG50" s="329"/>
      <c r="BH50" s="329"/>
      <c r="BI50" s="329"/>
      <c r="BJ50" s="329"/>
      <c r="BK50" s="329"/>
      <c r="BL50" s="329"/>
      <c r="BM50" s="329"/>
      <c r="BN50" s="329"/>
      <c r="BO50" s="329"/>
      <c r="BP50" s="329"/>
    </row>
    <row r="51" spans="4:51" ht="15">
      <c r="D51" s="329">
        <f>D50*12/4</f>
        <v>143578.7999999999</v>
      </c>
      <c r="U51">
        <f>U50/18*12</f>
        <v>11964.900000000003</v>
      </c>
      <c r="V51">
        <f>V50/18*12</f>
        <v>12629.616666666672</v>
      </c>
      <c r="W51">
        <f aca="true" t="shared" si="25" ref="W51:AY51">W50/18*12</f>
        <v>13294.33333333334</v>
      </c>
      <c r="X51">
        <f t="shared" si="25"/>
        <v>13959.050000000005</v>
      </c>
      <c r="Y51">
        <f t="shared" si="25"/>
        <v>14623.766666666674</v>
      </c>
      <c r="Z51">
        <f t="shared" si="25"/>
        <v>15288.48333333334</v>
      </c>
      <c r="AA51">
        <f t="shared" si="25"/>
        <v>15953.200000000006</v>
      </c>
      <c r="AB51">
        <f t="shared" si="25"/>
        <v>16617.916666666675</v>
      </c>
      <c r="AC51">
        <f t="shared" si="25"/>
        <v>17282.633333333342</v>
      </c>
      <c r="AD51">
        <f t="shared" si="25"/>
        <v>17947.350000000006</v>
      </c>
      <c r="AE51">
        <f t="shared" si="25"/>
        <v>18612.066666666677</v>
      </c>
      <c r="AF51">
        <f t="shared" si="25"/>
        <v>19276.783333333344</v>
      </c>
      <c r="AG51">
        <f t="shared" si="25"/>
        <v>19941.500000000007</v>
      </c>
      <c r="AH51">
        <f t="shared" si="25"/>
        <v>20606.216666666678</v>
      </c>
      <c r="AI51">
        <f t="shared" si="25"/>
        <v>21270.933333333345</v>
      </c>
      <c r="AJ51">
        <f t="shared" si="25"/>
        <v>21935.65000000001</v>
      </c>
      <c r="AK51">
        <f t="shared" si="25"/>
        <v>22600.366666666676</v>
      </c>
      <c r="AL51">
        <f t="shared" si="25"/>
        <v>23265.083333333336</v>
      </c>
      <c r="AM51">
        <f t="shared" si="25"/>
        <v>23929.800000000003</v>
      </c>
      <c r="AN51">
        <f t="shared" si="25"/>
        <v>23929.800000000003</v>
      </c>
      <c r="AO51">
        <f t="shared" si="25"/>
        <v>23929.800000000003</v>
      </c>
      <c r="AP51">
        <f t="shared" si="25"/>
        <v>23929.800000000003</v>
      </c>
      <c r="AQ51">
        <f t="shared" si="25"/>
        <v>23929.800000000003</v>
      </c>
      <c r="AR51">
        <f t="shared" si="25"/>
        <v>23929.800000000003</v>
      </c>
      <c r="AS51">
        <f t="shared" si="25"/>
        <v>23929.800000000003</v>
      </c>
      <c r="AT51">
        <f t="shared" si="25"/>
        <v>23929.800000000003</v>
      </c>
      <c r="AU51">
        <f t="shared" si="25"/>
        <v>23929.800000000003</v>
      </c>
      <c r="AV51">
        <f t="shared" si="25"/>
        <v>23929.800000000003</v>
      </c>
      <c r="AW51">
        <f t="shared" si="25"/>
        <v>23929.800000000003</v>
      </c>
      <c r="AX51">
        <f t="shared" si="25"/>
        <v>23929.800000000003</v>
      </c>
      <c r="AY51">
        <f t="shared" si="25"/>
        <v>23929.800000000003</v>
      </c>
    </row>
    <row r="52" spans="16:51" ht="15">
      <c r="P52">
        <f>Q52</f>
        <v>143578.80000000005</v>
      </c>
      <c r="Q52">
        <f>R52</f>
        <v>143578.80000000005</v>
      </c>
      <c r="R52">
        <f>S52</f>
        <v>143578.80000000005</v>
      </c>
      <c r="S52">
        <f>T52</f>
        <v>143578.80000000005</v>
      </c>
      <c r="T52">
        <f>U52</f>
        <v>143578.80000000005</v>
      </c>
      <c r="U52">
        <f>U51*12</f>
        <v>143578.80000000005</v>
      </c>
      <c r="V52">
        <f>V51*12</f>
        <v>151555.40000000008</v>
      </c>
      <c r="W52">
        <f aca="true" t="shared" si="26" ref="W52:AY52">W51*12</f>
        <v>159532.00000000006</v>
      </c>
      <c r="X52">
        <f t="shared" si="26"/>
        <v>167508.60000000006</v>
      </c>
      <c r="Y52">
        <f t="shared" si="26"/>
        <v>175485.20000000007</v>
      </c>
      <c r="Z52">
        <f t="shared" si="26"/>
        <v>183461.8000000001</v>
      </c>
      <c r="AA52">
        <f>AA51*12</f>
        <v>191438.40000000008</v>
      </c>
      <c r="AB52">
        <f t="shared" si="26"/>
        <v>199415.00000000012</v>
      </c>
      <c r="AC52">
        <f t="shared" si="26"/>
        <v>207391.6000000001</v>
      </c>
      <c r="AD52">
        <f t="shared" si="26"/>
        <v>215368.20000000007</v>
      </c>
      <c r="AE52">
        <f t="shared" si="26"/>
        <v>223344.8000000001</v>
      </c>
      <c r="AF52">
        <f t="shared" si="26"/>
        <v>231321.40000000014</v>
      </c>
      <c r="AG52">
        <f t="shared" si="26"/>
        <v>239298.0000000001</v>
      </c>
      <c r="AH52">
        <f t="shared" si="26"/>
        <v>247274.60000000015</v>
      </c>
      <c r="AI52">
        <f t="shared" si="26"/>
        <v>255251.20000000013</v>
      </c>
      <c r="AJ52">
        <f t="shared" si="26"/>
        <v>263227.8000000001</v>
      </c>
      <c r="AK52">
        <f t="shared" si="26"/>
        <v>271204.40000000014</v>
      </c>
      <c r="AL52">
        <f t="shared" si="26"/>
        <v>279181</v>
      </c>
      <c r="AM52">
        <f t="shared" si="26"/>
        <v>287157.60000000003</v>
      </c>
      <c r="AN52">
        <f t="shared" si="26"/>
        <v>287157.60000000003</v>
      </c>
      <c r="AO52">
        <f t="shared" si="26"/>
        <v>287157.60000000003</v>
      </c>
      <c r="AP52">
        <f t="shared" si="26"/>
        <v>287157.60000000003</v>
      </c>
      <c r="AQ52">
        <f t="shared" si="26"/>
        <v>287157.60000000003</v>
      </c>
      <c r="AR52">
        <f t="shared" si="26"/>
        <v>287157.60000000003</v>
      </c>
      <c r="AS52">
        <f t="shared" si="26"/>
        <v>287157.60000000003</v>
      </c>
      <c r="AT52">
        <f t="shared" si="26"/>
        <v>287157.60000000003</v>
      </c>
      <c r="AU52">
        <f t="shared" si="26"/>
        <v>287157.60000000003</v>
      </c>
      <c r="AV52">
        <f t="shared" si="26"/>
        <v>287157.60000000003</v>
      </c>
      <c r="AW52">
        <f t="shared" si="26"/>
        <v>287157.60000000003</v>
      </c>
      <c r="AX52">
        <f t="shared" si="26"/>
        <v>287157.60000000003</v>
      </c>
      <c r="AY52">
        <f t="shared" si="26"/>
        <v>287157.60000000003</v>
      </c>
    </row>
    <row r="53" spans="21:39" ht="15">
      <c r="U53">
        <f>U52/12/300*1000</f>
        <v>39883.00000000001</v>
      </c>
      <c r="AA53" s="330">
        <f>AA52/12/300*1000</f>
        <v>53177.33333333335</v>
      </c>
      <c r="AM53" s="330">
        <f>AM52/12/300*1000</f>
        <v>79766</v>
      </c>
    </row>
    <row r="54" spans="27:39" ht="15">
      <c r="AA54" s="331">
        <f>AA53/U53-1</f>
        <v>0.3333333333333335</v>
      </c>
      <c r="AM54" s="331">
        <f>AM53/AA53-1</f>
        <v>0.49999999999999956</v>
      </c>
    </row>
    <row r="55" spans="27:39" ht="15">
      <c r="AA55">
        <f>AA53*12*300/1000</f>
        <v>191438.40000000005</v>
      </c>
      <c r="AM55">
        <f>AM53*12*300/1000</f>
        <v>287157.6</v>
      </c>
    </row>
    <row r="56" spans="27:51" ht="15">
      <c r="AA56">
        <f>AVERAGE(P52:AA52)</f>
        <v>157537.85000000006</v>
      </c>
      <c r="AM56">
        <f>AVERAGE(AB52:AM52)</f>
        <v>243286.30000000008</v>
      </c>
      <c r="AY56">
        <f>AVERAGE(AN52:AY52)</f>
        <v>287157.60000000003</v>
      </c>
    </row>
    <row r="57" spans="27:51" ht="15">
      <c r="AA57" s="332">
        <f>AA56/12/300*1000</f>
        <v>43760.513888888905</v>
      </c>
      <c r="AM57" s="332">
        <f>AM56/12/300*1000</f>
        <v>67579.5277777778</v>
      </c>
      <c r="AY57" s="332">
        <f>AY56/12/300*1000</f>
        <v>79766</v>
      </c>
    </row>
    <row r="58" spans="27:51" ht="15">
      <c r="AA58" s="331">
        <f>AA57/U53-1</f>
        <v>0.09722222222222232</v>
      </c>
      <c r="AM58" s="331">
        <f>AM57/AA57-1</f>
        <v>0.5443037974683542</v>
      </c>
      <c r="AY58" s="331">
        <f>AY57/AM57-1</f>
        <v>0.18032786885245877</v>
      </c>
    </row>
    <row r="59" spans="27:51" ht="15">
      <c r="AA59" s="330">
        <f>AA57-U53</f>
        <v>3877.513888888898</v>
      </c>
      <c r="AM59" s="330">
        <f>AM57-AA57</f>
        <v>23819.01388888889</v>
      </c>
      <c r="AY59" s="330">
        <f>AY57-AM57</f>
        <v>12186.472222222204</v>
      </c>
    </row>
    <row r="60" spans="21:52" ht="15">
      <c r="U60" s="330">
        <f>U53-U61</f>
        <v>26588.66666666667</v>
      </c>
      <c r="V60" s="366">
        <f>U60/U53</f>
        <v>0.6666666666666666</v>
      </c>
      <c r="AA60" s="330">
        <f>AA57-AA61</f>
        <v>26588.66666666667</v>
      </c>
      <c r="AB60" s="366">
        <f>AA60/AA57</f>
        <v>0.6075949367088607</v>
      </c>
      <c r="AM60" s="330">
        <f>AM57-AM61</f>
        <v>26588.66666666667</v>
      </c>
      <c r="AN60" s="366">
        <f>AM60/AM57</f>
        <v>0.39344262295081966</v>
      </c>
      <c r="AY60" s="330">
        <f>AY57-AY61</f>
        <v>26588.66666666667</v>
      </c>
      <c r="AZ60" s="366">
        <f>AY60/AY57</f>
        <v>0.33333333333333337</v>
      </c>
    </row>
    <row r="61" spans="21:52" ht="15">
      <c r="U61" s="330">
        <f>U53/3</f>
        <v>13294.333333333336</v>
      </c>
      <c r="V61" s="366">
        <f>U61/U53</f>
        <v>0.3333333333333333</v>
      </c>
      <c r="AA61" s="330">
        <f>U61+AA59</f>
        <v>17171.847222222234</v>
      </c>
      <c r="AB61" s="366">
        <f>AA61/AA57</f>
        <v>0.39240506329113933</v>
      </c>
      <c r="AM61" s="330">
        <f>AA61+AM59</f>
        <v>40990.861111111124</v>
      </c>
      <c r="AN61" s="366">
        <f>AM61/AM57</f>
        <v>0.6065573770491803</v>
      </c>
      <c r="AY61" s="330">
        <f>AM61+AY59</f>
        <v>53177.33333333333</v>
      </c>
      <c r="AZ61" s="366">
        <f>AY61/AY57</f>
        <v>0.6666666666666666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J4">
      <selection activeCell="AG18" sqref="AG18"/>
    </sheetView>
  </sheetViews>
  <sheetFormatPr defaultColWidth="9.140625" defaultRowHeight="15"/>
  <cols>
    <col min="1" max="1" width="16.8515625" style="201" customWidth="1"/>
    <col min="2" max="2" width="7.8515625" style="156" customWidth="1"/>
    <col min="3" max="5" width="7.57421875" style="156" customWidth="1"/>
    <col min="6" max="6" width="5.00390625" style="156" customWidth="1"/>
    <col min="7" max="7" width="8.8515625" style="156" customWidth="1"/>
    <col min="8" max="8" width="8.00390625" style="156" customWidth="1"/>
    <col min="9" max="9" width="11.140625" style="157" bestFit="1" customWidth="1"/>
    <col min="10" max="10" width="6.7109375" style="41" bestFit="1" customWidth="1"/>
    <col min="11" max="11" width="6.00390625" style="41" bestFit="1" customWidth="1"/>
    <col min="12" max="12" width="7.00390625" style="41" customWidth="1"/>
    <col min="13" max="14" width="8.140625" style="41" customWidth="1"/>
    <col min="15" max="15" width="7.421875" style="41" customWidth="1"/>
    <col min="16" max="18" width="8.140625" style="41" customWidth="1"/>
    <col min="19" max="19" width="6.421875" style="41" customWidth="1"/>
    <col min="20" max="20" width="7.7109375" style="204" customWidth="1"/>
    <col min="21" max="21" width="7.28125" style="41" customWidth="1"/>
    <col min="22" max="22" width="0.13671875" style="41" customWidth="1"/>
    <col min="23" max="23" width="7.421875" style="41" customWidth="1"/>
    <col min="24" max="24" width="7.00390625" style="41" customWidth="1"/>
    <col min="25" max="25" width="7.28125" style="41" customWidth="1"/>
    <col min="26" max="26" width="7.8515625" style="41" customWidth="1"/>
    <col min="27" max="27" width="7.00390625" style="41" customWidth="1"/>
    <col min="28" max="30" width="7.7109375" style="41" customWidth="1"/>
    <col min="31" max="31" width="8.421875" style="41" customWidth="1"/>
    <col min="32" max="32" width="0.2890625" style="41" customWidth="1"/>
    <col min="33" max="33" width="8.28125" style="157" customWidth="1"/>
    <col min="34" max="34" width="8.421875" style="158" customWidth="1"/>
    <col min="35" max="35" width="8.28125" style="205" customWidth="1"/>
    <col min="36" max="16384" width="9.140625" style="37" customWidth="1"/>
  </cols>
  <sheetData>
    <row r="1" spans="1:35" ht="15.75">
      <c r="A1" s="412" t="s">
        <v>48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3"/>
    </row>
    <row r="2" ht="15.75" customHeight="1">
      <c r="A2" s="155"/>
    </row>
    <row r="3" spans="1:35" s="160" customFormat="1" ht="17.25" customHeight="1">
      <c r="A3" s="414"/>
      <c r="B3" s="417" t="s">
        <v>2</v>
      </c>
      <c r="C3" s="418"/>
      <c r="D3" s="418"/>
      <c r="E3" s="418"/>
      <c r="F3" s="418"/>
      <c r="G3" s="418"/>
      <c r="H3" s="418"/>
      <c r="I3" s="419"/>
      <c r="J3" s="419"/>
      <c r="K3" s="419"/>
      <c r="L3" s="419"/>
      <c r="M3" s="419"/>
      <c r="N3" s="419"/>
      <c r="O3" s="402"/>
      <c r="P3" s="402"/>
      <c r="Q3" s="402"/>
      <c r="R3" s="403"/>
      <c r="S3" s="420" t="s">
        <v>40</v>
      </c>
      <c r="T3" s="420"/>
      <c r="U3" s="420"/>
      <c r="V3" s="420"/>
      <c r="W3" s="420"/>
      <c r="X3" s="409"/>
      <c r="Y3" s="409"/>
      <c r="Z3" s="409"/>
      <c r="AA3" s="409"/>
      <c r="AB3" s="206"/>
      <c r="AC3" s="206"/>
      <c r="AD3" s="206"/>
      <c r="AE3" s="421" t="s">
        <v>49</v>
      </c>
      <c r="AF3" s="422"/>
      <c r="AG3" s="422"/>
      <c r="AH3" s="409"/>
      <c r="AI3" s="423"/>
    </row>
    <row r="4" spans="1:35" s="160" customFormat="1" ht="14.25" customHeight="1">
      <c r="A4" s="415"/>
      <c r="B4" s="398" t="s">
        <v>42</v>
      </c>
      <c r="C4" s="398"/>
      <c r="D4" s="409"/>
      <c r="E4" s="409"/>
      <c r="F4" s="424" t="s">
        <v>50</v>
      </c>
      <c r="G4" s="424" t="s">
        <v>51</v>
      </c>
      <c r="H4" s="394" t="s">
        <v>52</v>
      </c>
      <c r="I4" s="397" t="s">
        <v>43</v>
      </c>
      <c r="J4" s="44" t="s">
        <v>53</v>
      </c>
      <c r="K4" s="410" t="s">
        <v>4</v>
      </c>
      <c r="L4" s="402"/>
      <c r="M4" s="402"/>
      <c r="N4" s="402"/>
      <c r="O4" s="402"/>
      <c r="P4" s="402"/>
      <c r="Q4" s="402"/>
      <c r="R4" s="403"/>
      <c r="S4" s="410" t="s">
        <v>42</v>
      </c>
      <c r="T4" s="403"/>
      <c r="U4" s="397" t="s">
        <v>43</v>
      </c>
      <c r="V4" s="44" t="s">
        <v>54</v>
      </c>
      <c r="W4" s="410" t="s">
        <v>4</v>
      </c>
      <c r="X4" s="402"/>
      <c r="Y4" s="402"/>
      <c r="Z4" s="402"/>
      <c r="AA4" s="402"/>
      <c r="AB4" s="402"/>
      <c r="AC4" s="402"/>
      <c r="AD4" s="403"/>
      <c r="AE4" s="397" t="s">
        <v>43</v>
      </c>
      <c r="AF4" s="411" t="s">
        <v>55</v>
      </c>
      <c r="AG4" s="401" t="s">
        <v>56</v>
      </c>
      <c r="AH4" s="402"/>
      <c r="AI4" s="403"/>
    </row>
    <row r="5" spans="1:35" s="160" customFormat="1" ht="14.25" customHeight="1">
      <c r="A5" s="415"/>
      <c r="B5" s="44"/>
      <c r="C5" s="44"/>
      <c r="D5" s="206"/>
      <c r="E5" s="206"/>
      <c r="F5" s="424"/>
      <c r="G5" s="424"/>
      <c r="H5" s="395"/>
      <c r="I5" s="397"/>
      <c r="J5" s="404">
        <v>2013</v>
      </c>
      <c r="K5" s="404">
        <v>2014</v>
      </c>
      <c r="L5" s="406">
        <v>2015</v>
      </c>
      <c r="M5" s="407"/>
      <c r="N5" s="408"/>
      <c r="O5" s="406">
        <v>2016</v>
      </c>
      <c r="P5" s="407"/>
      <c r="Q5" s="407"/>
      <c r="R5" s="408"/>
      <c r="S5" s="398">
        <v>2012</v>
      </c>
      <c r="T5" s="398">
        <v>2013</v>
      </c>
      <c r="U5" s="397"/>
      <c r="V5" s="404">
        <v>2013</v>
      </c>
      <c r="W5" s="404">
        <v>2014</v>
      </c>
      <c r="X5" s="406">
        <v>2015</v>
      </c>
      <c r="Y5" s="407"/>
      <c r="Z5" s="408"/>
      <c r="AA5" s="406">
        <v>2016</v>
      </c>
      <c r="AB5" s="407"/>
      <c r="AC5" s="407"/>
      <c r="AD5" s="408"/>
      <c r="AE5" s="397"/>
      <c r="AF5" s="411"/>
      <c r="AG5" s="208"/>
      <c r="AH5" s="209"/>
      <c r="AI5" s="210"/>
    </row>
    <row r="6" spans="1:35" ht="77.25" customHeight="1">
      <c r="A6" s="416"/>
      <c r="B6" s="163">
        <v>2010</v>
      </c>
      <c r="C6" s="163">
        <v>2011</v>
      </c>
      <c r="D6" s="163">
        <v>2012</v>
      </c>
      <c r="E6" s="163">
        <v>2013</v>
      </c>
      <c r="F6" s="398"/>
      <c r="G6" s="398"/>
      <c r="H6" s="396"/>
      <c r="I6" s="398"/>
      <c r="J6" s="405"/>
      <c r="K6" s="405"/>
      <c r="L6" s="211" t="s">
        <v>57</v>
      </c>
      <c r="M6" s="164" t="s">
        <v>58</v>
      </c>
      <c r="N6" s="164" t="s">
        <v>59</v>
      </c>
      <c r="O6" s="211" t="s">
        <v>57</v>
      </c>
      <c r="P6" s="164" t="s">
        <v>58</v>
      </c>
      <c r="Q6" s="164" t="s">
        <v>60</v>
      </c>
      <c r="R6" s="164" t="s">
        <v>61</v>
      </c>
      <c r="S6" s="409"/>
      <c r="T6" s="409"/>
      <c r="U6" s="398"/>
      <c r="V6" s="405"/>
      <c r="W6" s="405"/>
      <c r="X6" s="211" t="s">
        <v>57</v>
      </c>
      <c r="Y6" s="164" t="s">
        <v>62</v>
      </c>
      <c r="Z6" s="164" t="s">
        <v>63</v>
      </c>
      <c r="AA6" s="211" t="s">
        <v>57</v>
      </c>
      <c r="AB6" s="164" t="s">
        <v>64</v>
      </c>
      <c r="AC6" s="164" t="s">
        <v>60</v>
      </c>
      <c r="AD6" s="164" t="s">
        <v>61</v>
      </c>
      <c r="AE6" s="398"/>
      <c r="AF6" s="411"/>
      <c r="AG6" s="207">
        <v>2014</v>
      </c>
      <c r="AH6" s="207">
        <v>2015</v>
      </c>
      <c r="AI6" s="207">
        <v>2016</v>
      </c>
    </row>
    <row r="7" spans="1:35" ht="14.25" customHeight="1">
      <c r="A7" s="212" t="s">
        <v>65</v>
      </c>
      <c r="B7" s="163">
        <v>1</v>
      </c>
      <c r="C7" s="163">
        <v>2</v>
      </c>
      <c r="D7" s="163">
        <v>3</v>
      </c>
      <c r="E7" s="163">
        <v>4</v>
      </c>
      <c r="F7" s="163">
        <v>5</v>
      </c>
      <c r="G7" s="163">
        <v>6</v>
      </c>
      <c r="H7" s="163">
        <v>7</v>
      </c>
      <c r="I7" s="163">
        <v>7</v>
      </c>
      <c r="J7" s="163">
        <v>9</v>
      </c>
      <c r="K7" s="163">
        <v>8</v>
      </c>
      <c r="L7" s="213">
        <v>9</v>
      </c>
      <c r="M7" s="163">
        <v>10</v>
      </c>
      <c r="N7" s="163">
        <v>11</v>
      </c>
      <c r="O7" s="213">
        <v>12</v>
      </c>
      <c r="P7" s="163">
        <v>13</v>
      </c>
      <c r="Q7" s="163">
        <v>14</v>
      </c>
      <c r="R7" s="163">
        <v>15</v>
      </c>
      <c r="S7" s="163">
        <v>16</v>
      </c>
      <c r="T7" s="163">
        <v>17</v>
      </c>
      <c r="U7" s="163">
        <v>18</v>
      </c>
      <c r="V7" s="163">
        <v>17</v>
      </c>
      <c r="W7" s="163">
        <v>19</v>
      </c>
      <c r="X7" s="163">
        <v>20</v>
      </c>
      <c r="Y7" s="163">
        <v>21</v>
      </c>
      <c r="Z7" s="163">
        <v>22</v>
      </c>
      <c r="AA7" s="163">
        <v>23</v>
      </c>
      <c r="AB7" s="163">
        <v>24</v>
      </c>
      <c r="AC7" s="163">
        <v>25</v>
      </c>
      <c r="AD7" s="163">
        <v>26</v>
      </c>
      <c r="AE7" s="163">
        <v>27</v>
      </c>
      <c r="AF7" s="163">
        <v>28</v>
      </c>
      <c r="AG7" s="163">
        <v>28</v>
      </c>
      <c r="AH7" s="163">
        <v>29</v>
      </c>
      <c r="AI7" s="61">
        <v>30</v>
      </c>
    </row>
    <row r="8" spans="1:35" ht="80.25" customHeight="1">
      <c r="A8" s="214" t="s">
        <v>66</v>
      </c>
      <c r="B8" s="215">
        <v>30544</v>
      </c>
      <c r="C8" s="215">
        <v>33682</v>
      </c>
      <c r="D8" s="215">
        <v>35709</v>
      </c>
      <c r="E8" s="215">
        <v>37318</v>
      </c>
      <c r="F8" s="216">
        <f>D8-C8</f>
        <v>2027</v>
      </c>
      <c r="G8" s="216">
        <f>E8-D8</f>
        <v>1609</v>
      </c>
      <c r="H8" s="217">
        <f>ROUND((F8+G8)/2,0)</f>
        <v>1818</v>
      </c>
      <c r="I8" s="218">
        <f>ROUND((D8+F8+D8+F8*2)/2,0)</f>
        <v>38750</v>
      </c>
      <c r="J8" s="218">
        <f>ROUND((E8+(E8+(H8)))/2,0)</f>
        <v>38227</v>
      </c>
      <c r="K8" s="219">
        <f>ROUND((E8+(E8+H8))/2+H8,0)</f>
        <v>40045</v>
      </c>
      <c r="L8" s="220">
        <f>K8+H8</f>
        <v>41863</v>
      </c>
      <c r="M8" s="221"/>
      <c r="N8" s="221"/>
      <c r="O8" s="220">
        <f>L8+H8</f>
        <v>43681</v>
      </c>
      <c r="P8" s="221"/>
      <c r="Q8" s="221"/>
      <c r="R8" s="221"/>
      <c r="S8" s="222">
        <v>768.64</v>
      </c>
      <c r="T8" s="223">
        <v>868.52</v>
      </c>
      <c r="U8" s="224">
        <f>ROUND(799.36*1.11,2)</f>
        <v>887.29</v>
      </c>
      <c r="V8" s="224">
        <f>ROUND(T8*1.1,2)</f>
        <v>955.37</v>
      </c>
      <c r="W8" s="223">
        <f>ROUND(T8*1.1*1.1045,2)</f>
        <v>1055.21</v>
      </c>
      <c r="X8" s="223">
        <f>ROUND(W8*1.1006,2)</f>
        <v>1161.36</v>
      </c>
      <c r="Y8" s="223"/>
      <c r="Z8" s="223"/>
      <c r="AA8" s="223">
        <f>ROUND(X8*1.0968,2)</f>
        <v>1273.78</v>
      </c>
      <c r="AB8" s="223"/>
      <c r="AC8" s="223"/>
      <c r="AD8" s="223"/>
      <c r="AE8" s="225">
        <v>412589.9</v>
      </c>
      <c r="AF8" s="225">
        <f>ROUND(J8*V8*12/1000,1)</f>
        <v>438251.1</v>
      </c>
      <c r="AG8" s="225">
        <f>ROUND(K8*W8*12/1000,1)</f>
        <v>507070.6</v>
      </c>
      <c r="AH8" s="225">
        <f>ROUND(L8*X8*12/1000,1)</f>
        <v>583416.2</v>
      </c>
      <c r="AI8" s="225">
        <f>ROUND(O8*AA8*12/1000,1)</f>
        <v>667679.8</v>
      </c>
    </row>
    <row r="9" spans="1:35" s="237" customFormat="1" ht="18.75" customHeight="1">
      <c r="A9" s="399" t="s">
        <v>67</v>
      </c>
      <c r="B9" s="400"/>
      <c r="C9" s="400"/>
      <c r="D9" s="226"/>
      <c r="E9" s="226"/>
      <c r="F9" s="227"/>
      <c r="G9" s="227"/>
      <c r="H9" s="228"/>
      <c r="I9" s="229"/>
      <c r="J9" s="229"/>
      <c r="K9" s="230"/>
      <c r="L9" s="231"/>
      <c r="M9" s="231"/>
      <c r="N9" s="231"/>
      <c r="O9" s="231"/>
      <c r="P9" s="232"/>
      <c r="Q9" s="232"/>
      <c r="R9" s="232"/>
      <c r="S9" s="233"/>
      <c r="T9" s="234"/>
      <c r="U9" s="235"/>
      <c r="V9" s="235"/>
      <c r="W9" s="234"/>
      <c r="X9" s="234"/>
      <c r="Y9" s="234"/>
      <c r="Z9" s="234"/>
      <c r="AA9" s="234"/>
      <c r="AB9" s="234"/>
      <c r="AC9" s="234"/>
      <c r="AD9" s="234"/>
      <c r="AE9" s="236"/>
      <c r="AF9" s="236"/>
      <c r="AG9" s="236"/>
      <c r="AH9" s="236"/>
      <c r="AI9" s="236"/>
    </row>
    <row r="10" spans="1:35" ht="25.5" customHeight="1">
      <c r="A10" s="238" t="s">
        <v>68</v>
      </c>
      <c r="B10" s="212"/>
      <c r="C10" s="212"/>
      <c r="D10" s="212"/>
      <c r="E10" s="212">
        <v>17144</v>
      </c>
      <c r="F10" s="212"/>
      <c r="G10" s="212"/>
      <c r="H10" s="212"/>
      <c r="I10" s="239"/>
      <c r="J10" s="219"/>
      <c r="K10" s="240">
        <v>18261</v>
      </c>
      <c r="L10" s="241">
        <v>19090</v>
      </c>
      <c r="M10" s="240">
        <v>11858</v>
      </c>
      <c r="N10" s="240">
        <v>7232</v>
      </c>
      <c r="O10" s="241">
        <v>19919</v>
      </c>
      <c r="P10" s="240">
        <v>5455</v>
      </c>
      <c r="Q10" s="240">
        <v>7232</v>
      </c>
      <c r="R10" s="240">
        <v>7232</v>
      </c>
      <c r="S10" s="219"/>
      <c r="T10" s="239">
        <v>397.86</v>
      </c>
      <c r="U10" s="219"/>
      <c r="V10" s="219"/>
      <c r="W10" s="242">
        <v>600</v>
      </c>
      <c r="X10" s="219"/>
      <c r="Y10" s="242">
        <v>600</v>
      </c>
      <c r="Z10" s="242">
        <v>600</v>
      </c>
      <c r="AA10" s="219"/>
      <c r="AB10" s="242">
        <v>600</v>
      </c>
      <c r="AC10" s="242">
        <v>600</v>
      </c>
      <c r="AD10" s="242">
        <v>600</v>
      </c>
      <c r="AE10" s="219"/>
      <c r="AF10" s="243"/>
      <c r="AG10" s="224">
        <f>ROUND(K10*W10*12/1000,1)</f>
        <v>131479.2</v>
      </c>
      <c r="AH10" s="60">
        <f>ROUND((M10*Y10+N10*Z10)*12/1000,1)</f>
        <v>137448</v>
      </c>
      <c r="AI10" s="244">
        <f>ROUND((P10*AB10+Q10*AC10+R10*AD10)*12/1000,1)</f>
        <v>143416.8</v>
      </c>
    </row>
    <row r="11" spans="1:35" ht="25.5" customHeight="1">
      <c r="A11" s="238" t="s">
        <v>69</v>
      </c>
      <c r="B11" s="212"/>
      <c r="C11" s="212"/>
      <c r="D11" s="212"/>
      <c r="E11" s="212">
        <v>20481</v>
      </c>
      <c r="F11" s="212"/>
      <c r="G11" s="212"/>
      <c r="H11" s="212"/>
      <c r="I11" s="239"/>
      <c r="J11" s="219"/>
      <c r="K11" s="240">
        <v>21784</v>
      </c>
      <c r="L11" s="241">
        <v>22773</v>
      </c>
      <c r="M11" s="240">
        <v>14145</v>
      </c>
      <c r="N11" s="240">
        <v>8628</v>
      </c>
      <c r="O11" s="241">
        <v>23762</v>
      </c>
      <c r="P11" s="240">
        <v>6506</v>
      </c>
      <c r="Q11" s="240">
        <v>8628</v>
      </c>
      <c r="R11" s="240">
        <v>8628</v>
      </c>
      <c r="S11" s="219"/>
      <c r="T11" s="239">
        <v>1279.21</v>
      </c>
      <c r="U11" s="219"/>
      <c r="V11" s="219"/>
      <c r="W11" s="224">
        <v>1813.21</v>
      </c>
      <c r="X11" s="219"/>
      <c r="Y11" s="242">
        <v>1813.21</v>
      </c>
      <c r="Z11" s="219">
        <v>2850.88</v>
      </c>
      <c r="AA11" s="219"/>
      <c r="AB11" s="242">
        <v>1813.21</v>
      </c>
      <c r="AC11" s="245">
        <v>1710.53</v>
      </c>
      <c r="AD11" s="245">
        <v>3126.85</v>
      </c>
      <c r="AE11" s="219"/>
      <c r="AF11" s="219"/>
      <c r="AG11" s="224">
        <f>ROUND(K11*W11*12/1000,1)</f>
        <v>473987.6</v>
      </c>
      <c r="AH11" s="60">
        <f>ROUND((M11*Y11+N11*Z11)*12/1000,1)</f>
        <v>602943</v>
      </c>
      <c r="AI11" s="244">
        <f>ROUND((P11*AB11+Q11*AC11+R11*AD11)*12/1000,1)</f>
        <v>642403.9</v>
      </c>
    </row>
    <row r="12" spans="1:35" s="252" customFormat="1" ht="18.75" customHeight="1">
      <c r="A12" s="246" t="s">
        <v>9</v>
      </c>
      <c r="B12" s="247">
        <v>30544</v>
      </c>
      <c r="C12" s="247">
        <v>33682</v>
      </c>
      <c r="D12" s="247">
        <v>35709</v>
      </c>
      <c r="E12" s="219">
        <v>37625</v>
      </c>
      <c r="F12" s="239"/>
      <c r="G12" s="239"/>
      <c r="H12" s="239"/>
      <c r="I12" s="239"/>
      <c r="J12" s="219"/>
      <c r="K12" s="218">
        <v>40045</v>
      </c>
      <c r="L12" s="248">
        <v>41863</v>
      </c>
      <c r="M12" s="218">
        <v>26003</v>
      </c>
      <c r="N12" s="218">
        <v>15860</v>
      </c>
      <c r="O12" s="248">
        <v>43681</v>
      </c>
      <c r="P12" s="218">
        <v>11961</v>
      </c>
      <c r="Q12" s="218">
        <v>15860</v>
      </c>
      <c r="R12" s="218">
        <v>15860</v>
      </c>
      <c r="S12" s="219"/>
      <c r="T12" s="245">
        <v>877.62</v>
      </c>
      <c r="U12" s="219"/>
      <c r="V12" s="219"/>
      <c r="W12" s="245">
        <v>1259.97</v>
      </c>
      <c r="X12" s="219"/>
      <c r="Y12" s="219"/>
      <c r="Z12" s="219"/>
      <c r="AA12" s="219"/>
      <c r="AB12" s="219"/>
      <c r="AC12" s="219"/>
      <c r="AD12" s="219"/>
      <c r="AE12" s="219"/>
      <c r="AF12" s="249"/>
      <c r="AG12" s="250">
        <f>AG10+AG11</f>
        <v>605466.8</v>
      </c>
      <c r="AH12" s="250">
        <f>SUM(AH10:AH11)</f>
        <v>740391</v>
      </c>
      <c r="AI12" s="251">
        <f>SUM(AI10:AI11)</f>
        <v>785820.7</v>
      </c>
    </row>
    <row r="13" spans="23:35" ht="15" customHeight="1">
      <c r="W13" s="41">
        <v>1087.1</v>
      </c>
      <c r="AG13" s="225">
        <v>522390.2</v>
      </c>
      <c r="AH13" s="225">
        <v>601264.9</v>
      </c>
      <c r="AI13" s="225">
        <v>688232.6</v>
      </c>
    </row>
    <row r="14" spans="29:35" ht="15" customHeight="1">
      <c r="AC14" s="253"/>
      <c r="AG14" s="157">
        <f>AG13/K8/12*1000</f>
        <v>1087.0899404836225</v>
      </c>
      <c r="AH14" s="157">
        <f>AH13/L8/12*1000</f>
        <v>1196.8900540652448</v>
      </c>
      <c r="AI14" s="157">
        <f>AI13/O8/12*1000</f>
        <v>1312.9900109124485</v>
      </c>
    </row>
    <row r="15" spans="3:33" ht="12.75">
      <c r="C15" s="254"/>
      <c r="D15" s="254"/>
      <c r="E15" s="254"/>
      <c r="AE15" s="41" t="s">
        <v>76</v>
      </c>
      <c r="AG15" s="157">
        <v>300</v>
      </c>
    </row>
    <row r="16" spans="2:5" ht="12.75">
      <c r="B16" s="255"/>
      <c r="C16" s="255"/>
      <c r="D16" s="255"/>
      <c r="E16" s="255"/>
    </row>
    <row r="17" spans="1:35" s="252" customFormat="1" ht="12.75">
      <c r="A17" s="256"/>
      <c r="B17" s="157"/>
      <c r="C17" s="257"/>
      <c r="D17" s="257"/>
      <c r="E17" s="257"/>
      <c r="F17" s="157"/>
      <c r="G17" s="157"/>
      <c r="H17" s="157"/>
      <c r="I17" s="157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204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 t="s">
        <v>78</v>
      </c>
      <c r="AF17" s="41"/>
      <c r="AG17" s="157">
        <f>AG14*(1+$AG$19)</f>
        <v>1186.756277324021</v>
      </c>
      <c r="AH17" s="157">
        <f>AH14*(1+$AG$19)</f>
        <v>1306.6230603667477</v>
      </c>
      <c r="AI17" s="157">
        <f>AI14*(1+$AG$19)</f>
        <v>1433.3672674966292</v>
      </c>
    </row>
    <row r="18" spans="31:35" ht="12.75">
      <c r="AE18" s="41" t="s">
        <v>77</v>
      </c>
      <c r="AG18" s="367">
        <f>(cheltuieli!F8/3*cheltuieli!E17+cheltuieli!F8*2/3*cheltuieli!E18*cheltuieli!$D$18)/cheltuieli!F8</f>
        <v>644.3708666666666</v>
      </c>
      <c r="AH18" s="367">
        <f>(cheltuieli!L8/3*cheltuieli!G17+cheltuieli!L8*2/3*cheltuieli!G18*cheltuieli!$D$18)/cheltuieli!L8</f>
        <v>672.7231848</v>
      </c>
      <c r="AI18" s="367">
        <f>(cheltuieli!S8/3*cheltuieli!N17+cheltuieli!S8*2/3*cheltuieli!N18*cheltuieli!$D$18)/cheltuieli!S8</f>
        <v>701.6502817464001</v>
      </c>
    </row>
    <row r="19" spans="2:33" ht="12.75">
      <c r="B19" s="255"/>
      <c r="C19" s="255"/>
      <c r="D19" s="255"/>
      <c r="E19" s="255"/>
      <c r="AG19" s="368">
        <v>0.09168177639106778</v>
      </c>
    </row>
    <row r="20" spans="2:5" ht="12.75">
      <c r="B20" s="255"/>
      <c r="C20" s="255"/>
      <c r="D20" s="255"/>
      <c r="E20" s="255"/>
    </row>
  </sheetData>
  <sheetProtection/>
  <mergeCells count="28">
    <mergeCell ref="AF4:AF6"/>
    <mergeCell ref="AA5:AD5"/>
    <mergeCell ref="A1:AI1"/>
    <mergeCell ref="A3:A6"/>
    <mergeCell ref="B3:R3"/>
    <mergeCell ref="S3:AA3"/>
    <mergeCell ref="AE3:AI3"/>
    <mergeCell ref="B4:E4"/>
    <mergeCell ref="F4:F6"/>
    <mergeCell ref="G4:G6"/>
    <mergeCell ref="X5:Z5"/>
    <mergeCell ref="K4:R4"/>
    <mergeCell ref="S4:T4"/>
    <mergeCell ref="U4:U6"/>
    <mergeCell ref="W4:AD4"/>
    <mergeCell ref="W5:W6"/>
    <mergeCell ref="T5:T6"/>
    <mergeCell ref="V5:V6"/>
    <mergeCell ref="H4:H6"/>
    <mergeCell ref="I4:I6"/>
    <mergeCell ref="AE4:AE6"/>
    <mergeCell ref="A9:C9"/>
    <mergeCell ref="AG4:AI4"/>
    <mergeCell ref="J5:J6"/>
    <mergeCell ref="K5:K6"/>
    <mergeCell ref="L5:N5"/>
    <mergeCell ref="O5:R5"/>
    <mergeCell ref="S5:S6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3.8515625" style="151" customWidth="1"/>
    <col min="2" max="2" width="6.7109375" style="39" customWidth="1"/>
    <col min="3" max="3" width="6.00390625" style="39" customWidth="1"/>
    <col min="4" max="7" width="6.57421875" style="39" bestFit="1" customWidth="1"/>
    <col min="8" max="8" width="6.28125" style="39" customWidth="1"/>
    <col min="9" max="9" width="4.57421875" style="39" customWidth="1"/>
    <col min="10" max="10" width="4.421875" style="39" customWidth="1"/>
    <col min="11" max="11" width="4.00390625" style="39" customWidth="1"/>
    <col min="12" max="12" width="4.8515625" style="39" customWidth="1"/>
    <col min="13" max="13" width="7.8515625" style="40" customWidth="1"/>
    <col min="14" max="16" width="7.421875" style="41" customWidth="1"/>
    <col min="17" max="17" width="8.421875" style="40" customWidth="1"/>
    <col min="18" max="20" width="7.8515625" style="42" customWidth="1"/>
    <col min="21" max="21" width="9.421875" style="39" customWidth="1"/>
    <col min="22" max="22" width="8.7109375" style="39" customWidth="1"/>
    <col min="23" max="23" width="9.421875" style="37" bestFit="1" customWidth="1"/>
    <col min="24" max="25" width="9.28125" style="37" bestFit="1" customWidth="1"/>
    <col min="26" max="26" width="9.7109375" style="37" bestFit="1" customWidth="1"/>
    <col min="27" max="16384" width="9.140625" style="37" customWidth="1"/>
  </cols>
  <sheetData>
    <row r="1" spans="1:23" ht="45.75" customHeight="1">
      <c r="A1" s="425" t="s">
        <v>27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ht="12.75">
      <c r="A2" s="38"/>
    </row>
    <row r="3" spans="1:24" ht="21.75" customHeight="1">
      <c r="A3" s="426"/>
      <c r="B3" s="427" t="s">
        <v>2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8" t="s">
        <v>28</v>
      </c>
      <c r="R3" s="428"/>
      <c r="S3" s="428"/>
      <c r="T3" s="428"/>
      <c r="U3" s="429" t="s">
        <v>3</v>
      </c>
      <c r="V3" s="429"/>
      <c r="W3" s="429"/>
      <c r="X3" s="429"/>
    </row>
    <row r="4" spans="1:24" ht="15.75" customHeight="1">
      <c r="A4" s="426"/>
      <c r="B4" s="398" t="s">
        <v>29</v>
      </c>
      <c r="C4" s="398"/>
      <c r="D4" s="398"/>
      <c r="E4" s="398"/>
      <c r="F4" s="398"/>
      <c r="G4" s="398"/>
      <c r="H4" s="398"/>
      <c r="I4" s="430" t="s">
        <v>30</v>
      </c>
      <c r="J4" s="432" t="s">
        <v>31</v>
      </c>
      <c r="K4" s="432" t="s">
        <v>32</v>
      </c>
      <c r="L4" s="432" t="s">
        <v>33</v>
      </c>
      <c r="M4" s="434" t="s">
        <v>34</v>
      </c>
      <c r="N4" s="436" t="s">
        <v>4</v>
      </c>
      <c r="O4" s="437"/>
      <c r="P4" s="438"/>
      <c r="Q4" s="439" t="s">
        <v>34</v>
      </c>
      <c r="R4" s="436" t="s">
        <v>4</v>
      </c>
      <c r="S4" s="437"/>
      <c r="T4" s="438"/>
      <c r="U4" s="45" t="s">
        <v>5</v>
      </c>
      <c r="V4" s="440" t="s">
        <v>4</v>
      </c>
      <c r="W4" s="440"/>
      <c r="X4" s="440"/>
    </row>
    <row r="5" spans="1:24" ht="58.5" customHeight="1">
      <c r="A5" s="426"/>
      <c r="B5" s="44">
        <v>2007</v>
      </c>
      <c r="C5" s="44">
        <v>2008</v>
      </c>
      <c r="D5" s="46">
        <v>2009</v>
      </c>
      <c r="E5" s="44">
        <v>2010</v>
      </c>
      <c r="F5" s="44">
        <v>2011</v>
      </c>
      <c r="G5" s="44">
        <v>2012</v>
      </c>
      <c r="H5" s="44">
        <v>2013</v>
      </c>
      <c r="I5" s="431"/>
      <c r="J5" s="433"/>
      <c r="K5" s="433"/>
      <c r="L5" s="433"/>
      <c r="M5" s="435"/>
      <c r="N5" s="47">
        <v>2014</v>
      </c>
      <c r="O5" s="48">
        <v>2015</v>
      </c>
      <c r="P5" s="47">
        <v>2016</v>
      </c>
      <c r="Q5" s="439"/>
      <c r="R5" s="48">
        <v>2014</v>
      </c>
      <c r="S5" s="48">
        <v>2015</v>
      </c>
      <c r="T5" s="48">
        <v>2016</v>
      </c>
      <c r="U5" s="1">
        <v>2013</v>
      </c>
      <c r="V5" s="49" t="s">
        <v>6</v>
      </c>
      <c r="W5" s="49" t="s">
        <v>7</v>
      </c>
      <c r="X5" s="49" t="s">
        <v>8</v>
      </c>
    </row>
    <row r="6" spans="1:24" ht="9" customHeight="1">
      <c r="A6" s="50"/>
      <c r="B6" s="51"/>
      <c r="C6" s="51"/>
      <c r="D6" s="51"/>
      <c r="E6" s="52"/>
      <c r="F6" s="43"/>
      <c r="G6" s="43"/>
      <c r="H6" s="43"/>
      <c r="I6" s="53"/>
      <c r="J6" s="43"/>
      <c r="K6" s="43"/>
      <c r="L6" s="43"/>
      <c r="M6" s="54"/>
      <c r="N6" s="55"/>
      <c r="O6" s="55"/>
      <c r="P6" s="56"/>
      <c r="Q6" s="57"/>
      <c r="R6" s="58"/>
      <c r="S6" s="58"/>
      <c r="T6" s="59"/>
      <c r="U6" s="60"/>
      <c r="V6" s="60"/>
      <c r="W6" s="61"/>
      <c r="X6" s="61"/>
    </row>
    <row r="7" spans="1:24" ht="40.5" customHeight="1">
      <c r="A7" s="62" t="s">
        <v>35</v>
      </c>
      <c r="B7" s="63">
        <v>25850</v>
      </c>
      <c r="C7" s="64">
        <v>25870</v>
      </c>
      <c r="D7" s="65">
        <f>D8+D9</f>
        <v>25519</v>
      </c>
      <c r="E7" s="66">
        <f>E8+E9</f>
        <v>27699</v>
      </c>
      <c r="F7" s="67">
        <f>F8+F9</f>
        <v>27601</v>
      </c>
      <c r="G7" s="68">
        <f>G8+G9</f>
        <v>26613</v>
      </c>
      <c r="H7" s="68">
        <f>H8+H9</f>
        <v>24287</v>
      </c>
      <c r="I7" s="69">
        <f aca="true" t="shared" si="0" ref="I7:J9">E7-D7</f>
        <v>2180</v>
      </c>
      <c r="J7" s="70">
        <f>F7-E7</f>
        <v>-98</v>
      </c>
      <c r="K7" s="70">
        <f>G7-F7</f>
        <v>-988</v>
      </c>
      <c r="L7" s="70">
        <f>H7-G7</f>
        <v>-2326</v>
      </c>
      <c r="M7" s="71">
        <v>27304.333333333336</v>
      </c>
      <c r="N7" s="72">
        <f>N8+N9</f>
        <v>25450</v>
      </c>
      <c r="O7" s="72">
        <f>O8+O9</f>
        <v>25450</v>
      </c>
      <c r="P7" s="72">
        <f>P8+P9</f>
        <v>25450</v>
      </c>
      <c r="Q7" s="73"/>
      <c r="R7" s="74"/>
      <c r="S7" s="74"/>
      <c r="T7" s="74"/>
      <c r="U7" s="75">
        <v>74788.8</v>
      </c>
      <c r="V7" s="76">
        <f>V8+V9</f>
        <v>82584.7</v>
      </c>
      <c r="W7" s="76">
        <f>W8+W9</f>
        <v>95309.7</v>
      </c>
      <c r="X7" s="76">
        <f>X8+X9</f>
        <v>108034.7</v>
      </c>
    </row>
    <row r="8" spans="1:26" ht="12.75">
      <c r="A8" s="62" t="s">
        <v>36</v>
      </c>
      <c r="B8" s="77">
        <v>16817</v>
      </c>
      <c r="C8" s="78">
        <v>16555</v>
      </c>
      <c r="D8" s="79">
        <v>14359</v>
      </c>
      <c r="E8" s="80">
        <v>15065</v>
      </c>
      <c r="F8" s="81">
        <v>14915</v>
      </c>
      <c r="G8" s="81">
        <v>13958</v>
      </c>
      <c r="H8" s="81">
        <v>12345</v>
      </c>
      <c r="I8" s="69">
        <f t="shared" si="0"/>
        <v>706</v>
      </c>
      <c r="J8" s="70">
        <f t="shared" si="0"/>
        <v>-150</v>
      </c>
      <c r="K8" s="70">
        <f>G8-F8</f>
        <v>-957</v>
      </c>
      <c r="L8" s="70">
        <f>H8-G8</f>
        <v>-1613</v>
      </c>
      <c r="M8" s="82">
        <v>14646</v>
      </c>
      <c r="N8" s="83">
        <v>13151</v>
      </c>
      <c r="O8" s="83">
        <v>13151</v>
      </c>
      <c r="P8" s="83">
        <v>13151</v>
      </c>
      <c r="Q8" s="84">
        <v>2600</v>
      </c>
      <c r="R8" s="85">
        <v>3100</v>
      </c>
      <c r="S8" s="85">
        <v>3600</v>
      </c>
      <c r="T8" s="85">
        <v>4100</v>
      </c>
      <c r="U8" s="75">
        <v>38079.6</v>
      </c>
      <c r="V8" s="86">
        <f aca="true" t="shared" si="1" ref="V8:X9">ROUND(N8*R8/1000,1)</f>
        <v>40768.1</v>
      </c>
      <c r="W8" s="86">
        <f t="shared" si="1"/>
        <v>47343.6</v>
      </c>
      <c r="X8" s="86">
        <f t="shared" si="1"/>
        <v>53919.1</v>
      </c>
      <c r="Z8" s="87"/>
    </row>
    <row r="9" spans="1:24" ht="12.75">
      <c r="A9" s="62" t="s">
        <v>37</v>
      </c>
      <c r="B9" s="77">
        <v>9033</v>
      </c>
      <c r="C9" s="78">
        <v>9315</v>
      </c>
      <c r="D9" s="79">
        <v>11160</v>
      </c>
      <c r="E9" s="80">
        <v>12634</v>
      </c>
      <c r="F9" s="81">
        <v>12686</v>
      </c>
      <c r="G9" s="81">
        <v>12655</v>
      </c>
      <c r="H9" s="81">
        <v>11942</v>
      </c>
      <c r="I9" s="69">
        <f t="shared" si="0"/>
        <v>1474</v>
      </c>
      <c r="J9" s="70">
        <f t="shared" si="0"/>
        <v>52</v>
      </c>
      <c r="K9" s="70">
        <f>G9-F9</f>
        <v>-31</v>
      </c>
      <c r="L9" s="70">
        <f>H9-G9</f>
        <v>-713</v>
      </c>
      <c r="M9" s="82">
        <v>12658</v>
      </c>
      <c r="N9" s="83">
        <v>12299</v>
      </c>
      <c r="O9" s="83">
        <v>12299</v>
      </c>
      <c r="P9" s="83">
        <v>12299</v>
      </c>
      <c r="Q9" s="84">
        <v>2900</v>
      </c>
      <c r="R9" s="85">
        <v>3400</v>
      </c>
      <c r="S9" s="85">
        <v>3900</v>
      </c>
      <c r="T9" s="85">
        <v>4400</v>
      </c>
      <c r="U9" s="75">
        <v>36709.2</v>
      </c>
      <c r="V9" s="86">
        <f t="shared" si="1"/>
        <v>41816.6</v>
      </c>
      <c r="W9" s="86">
        <f t="shared" si="1"/>
        <v>47966.1</v>
      </c>
      <c r="X9" s="86">
        <f t="shared" si="1"/>
        <v>54115.6</v>
      </c>
    </row>
    <row r="10" spans="1:24" ht="6.75" customHeight="1">
      <c r="A10" s="88"/>
      <c r="B10" s="77"/>
      <c r="C10" s="78"/>
      <c r="D10" s="79"/>
      <c r="E10" s="80"/>
      <c r="F10" s="81"/>
      <c r="G10" s="81"/>
      <c r="H10" s="81"/>
      <c r="I10" s="69"/>
      <c r="J10" s="70"/>
      <c r="K10" s="70"/>
      <c r="L10" s="70"/>
      <c r="M10" s="82"/>
      <c r="N10" s="83"/>
      <c r="O10" s="83"/>
      <c r="P10" s="83"/>
      <c r="Q10" s="84"/>
      <c r="R10" s="85"/>
      <c r="S10" s="85"/>
      <c r="T10" s="85"/>
      <c r="V10" s="86"/>
      <c r="W10" s="86"/>
      <c r="X10" s="86"/>
    </row>
    <row r="11" spans="1:24" s="100" customFormat="1" ht="12.75">
      <c r="A11" s="2" t="s">
        <v>11</v>
      </c>
      <c r="B11" s="89"/>
      <c r="C11" s="89"/>
      <c r="D11" s="90"/>
      <c r="E11" s="91"/>
      <c r="F11" s="92"/>
      <c r="G11" s="92"/>
      <c r="H11" s="92"/>
      <c r="I11" s="93"/>
      <c r="J11" s="94"/>
      <c r="K11" s="94"/>
      <c r="L11" s="94"/>
      <c r="M11" s="95"/>
      <c r="N11" s="96"/>
      <c r="O11" s="96"/>
      <c r="P11" s="96"/>
      <c r="Q11" s="97"/>
      <c r="R11" s="98"/>
      <c r="S11" s="98"/>
      <c r="T11" s="98"/>
      <c r="U11" s="75">
        <v>448.7</v>
      </c>
      <c r="V11" s="99">
        <f>ROUND(V7*0.6%,1)</f>
        <v>495.5</v>
      </c>
      <c r="W11" s="99">
        <f>ROUND(W7*0.6%,1)</f>
        <v>571.9</v>
      </c>
      <c r="X11" s="99">
        <f>ROUND(X7*0.6%,1)</f>
        <v>648.2</v>
      </c>
    </row>
    <row r="12" spans="1:24" s="100" customFormat="1" ht="22.5">
      <c r="A12" s="2" t="s">
        <v>12</v>
      </c>
      <c r="B12" s="101"/>
      <c r="C12" s="102"/>
      <c r="D12" s="103"/>
      <c r="E12" s="104"/>
      <c r="F12" s="105"/>
      <c r="G12" s="105"/>
      <c r="H12" s="105"/>
      <c r="I12" s="93"/>
      <c r="J12" s="94"/>
      <c r="K12" s="94"/>
      <c r="L12" s="94"/>
      <c r="M12" s="106"/>
      <c r="N12" s="96"/>
      <c r="O12" s="96"/>
      <c r="P12" s="96"/>
      <c r="Q12" s="97"/>
      <c r="R12" s="107"/>
      <c r="S12" s="107"/>
      <c r="T12" s="107"/>
      <c r="U12" s="99">
        <v>187</v>
      </c>
      <c r="V12" s="108">
        <f>ROUND(V7*0.25%,1)</f>
        <v>206.5</v>
      </c>
      <c r="W12" s="108">
        <f>ROUND(W7*0.25%,1)</f>
        <v>238.3</v>
      </c>
      <c r="X12" s="108">
        <f>ROUND(X7*0.25%,1)</f>
        <v>270.1</v>
      </c>
    </row>
    <row r="13" spans="1:24" ht="16.5" customHeight="1">
      <c r="A13" s="109" t="s">
        <v>9</v>
      </c>
      <c r="B13" s="110"/>
      <c r="C13" s="111"/>
      <c r="D13" s="111"/>
      <c r="E13" s="112"/>
      <c r="F13" s="113"/>
      <c r="G13" s="113"/>
      <c r="H13" s="113"/>
      <c r="I13" s="114"/>
      <c r="J13" s="115"/>
      <c r="K13" s="115"/>
      <c r="L13" s="115"/>
      <c r="M13" s="116"/>
      <c r="N13" s="117">
        <f>N7-H7</f>
        <v>1163</v>
      </c>
      <c r="O13" s="117"/>
      <c r="P13" s="117"/>
      <c r="Q13" s="118"/>
      <c r="R13" s="119"/>
      <c r="S13" s="119"/>
      <c r="T13" s="119"/>
      <c r="U13" s="120">
        <v>75424.5</v>
      </c>
      <c r="V13" s="121">
        <f>V7+V11+V12</f>
        <v>83286.7</v>
      </c>
      <c r="W13" s="121">
        <f>W7+W11+W12</f>
        <v>96119.9</v>
      </c>
      <c r="X13" s="121">
        <f>X7+X11+X12</f>
        <v>108953</v>
      </c>
    </row>
    <row r="14" spans="1:26" ht="63.75">
      <c r="A14" s="62" t="s">
        <v>38</v>
      </c>
      <c r="B14" s="77">
        <v>37581</v>
      </c>
      <c r="C14" s="122">
        <v>38153</v>
      </c>
      <c r="D14" s="123">
        <v>38247</v>
      </c>
      <c r="E14" s="124">
        <v>40426</v>
      </c>
      <c r="F14" s="125">
        <v>41118</v>
      </c>
      <c r="G14" s="126">
        <v>40150</v>
      </c>
      <c r="H14" s="126">
        <v>39615</v>
      </c>
      <c r="I14" s="69">
        <f>E14-D14</f>
        <v>2179</v>
      </c>
      <c r="J14" s="70">
        <f>F14-E14</f>
        <v>692</v>
      </c>
      <c r="K14" s="127">
        <f>G14-F14</f>
        <v>-968</v>
      </c>
      <c r="L14" s="127">
        <f>H14-G14</f>
        <v>-535</v>
      </c>
      <c r="M14" s="128">
        <v>40565</v>
      </c>
      <c r="N14" s="83">
        <v>39883</v>
      </c>
      <c r="O14" s="83">
        <v>39883</v>
      </c>
      <c r="P14" s="83">
        <v>39883</v>
      </c>
      <c r="Q14" s="129">
        <v>300</v>
      </c>
      <c r="R14" s="130">
        <v>600</v>
      </c>
      <c r="S14" s="130">
        <v>600</v>
      </c>
      <c r="T14" s="130">
        <v>600</v>
      </c>
      <c r="U14" s="75">
        <v>146034</v>
      </c>
      <c r="V14" s="86">
        <f>ROUND(N14*R14*12/1000,1)</f>
        <v>287157.6</v>
      </c>
      <c r="W14" s="86">
        <f>ROUND(O14*S14*12/1000,1)</f>
        <v>287157.6</v>
      </c>
      <c r="X14" s="86">
        <f>ROUND(P14*T14*12/1000,1)</f>
        <v>287157.6</v>
      </c>
      <c r="Z14" s="131"/>
    </row>
    <row r="15" spans="1:26" s="100" customFormat="1" ht="12.75" customHeight="1">
      <c r="A15" s="2" t="s">
        <v>11</v>
      </c>
      <c r="B15" s="132"/>
      <c r="C15" s="132"/>
      <c r="D15" s="133"/>
      <c r="E15" s="134"/>
      <c r="F15" s="135"/>
      <c r="G15" s="135"/>
      <c r="H15" s="135"/>
      <c r="I15" s="93"/>
      <c r="J15" s="94"/>
      <c r="K15" s="94"/>
      <c r="L15" s="94"/>
      <c r="M15" s="136"/>
      <c r="N15" s="96"/>
      <c r="O15" s="96"/>
      <c r="P15" s="96"/>
      <c r="Q15" s="137"/>
      <c r="R15" s="138"/>
      <c r="S15" s="138"/>
      <c r="T15" s="138"/>
      <c r="U15" s="99">
        <v>876.2</v>
      </c>
      <c r="V15" s="99">
        <f>ROUND(V14*0.6%,1)</f>
        <v>1722.9</v>
      </c>
      <c r="W15" s="99">
        <f>ROUND(W14*0.6%,1)</f>
        <v>1722.9</v>
      </c>
      <c r="X15" s="99">
        <f>ROUND(X14*0.6%,1)</f>
        <v>1722.9</v>
      </c>
      <c r="Z15" s="139"/>
    </row>
    <row r="16" spans="1:26" s="100" customFormat="1" ht="22.5">
      <c r="A16" s="2" t="s">
        <v>12</v>
      </c>
      <c r="B16" s="140"/>
      <c r="C16" s="140"/>
      <c r="D16" s="141"/>
      <c r="E16" s="142"/>
      <c r="F16" s="143"/>
      <c r="G16" s="143"/>
      <c r="H16" s="143"/>
      <c r="I16" s="93"/>
      <c r="J16" s="94"/>
      <c r="K16" s="94"/>
      <c r="L16" s="94"/>
      <c r="M16" s="136"/>
      <c r="N16" s="96"/>
      <c r="O16" s="96"/>
      <c r="P16" s="96"/>
      <c r="Q16" s="137"/>
      <c r="R16" s="138"/>
      <c r="S16" s="138"/>
      <c r="T16" s="138"/>
      <c r="U16" s="99">
        <v>363.9</v>
      </c>
      <c r="V16" s="108">
        <f>ROUND(V14*0.25%,1)</f>
        <v>717.9</v>
      </c>
      <c r="W16" s="108">
        <f>ROUND(W14*0.25%,1)</f>
        <v>717.9</v>
      </c>
      <c r="X16" s="108">
        <f>ROUND(X14*0.25%,1)</f>
        <v>717.9</v>
      </c>
      <c r="Z16" s="139"/>
    </row>
    <row r="17" spans="1:27" ht="16.5" customHeight="1">
      <c r="A17" s="109" t="s">
        <v>9</v>
      </c>
      <c r="B17" s="144"/>
      <c r="C17" s="111"/>
      <c r="D17" s="111"/>
      <c r="E17" s="112"/>
      <c r="F17" s="113"/>
      <c r="G17" s="113"/>
      <c r="H17" s="113"/>
      <c r="I17" s="114"/>
      <c r="J17" s="115"/>
      <c r="K17" s="115"/>
      <c r="L17" s="115"/>
      <c r="M17" s="116"/>
      <c r="N17" s="117"/>
      <c r="O17" s="117"/>
      <c r="P17" s="117"/>
      <c r="Q17" s="145"/>
      <c r="R17" s="146"/>
      <c r="S17" s="146"/>
      <c r="T17" s="146"/>
      <c r="U17" s="147">
        <v>147274.1</v>
      </c>
      <c r="V17" s="148">
        <f>SUM(V14:V16)</f>
        <v>289598.4</v>
      </c>
      <c r="W17" s="148">
        <f>SUM(W14:W16)</f>
        <v>289598.4</v>
      </c>
      <c r="X17" s="148">
        <f>SUM(X14:X16)</f>
        <v>289598.4</v>
      </c>
      <c r="Y17" s="149"/>
      <c r="Z17" s="150"/>
      <c r="AA17" s="149"/>
    </row>
    <row r="18" spans="21:22" ht="12.75">
      <c r="U18" s="152"/>
      <c r="V18" s="152"/>
    </row>
    <row r="19" spans="22:24" ht="12.75">
      <c r="V19" s="153"/>
      <c r="W19" s="149"/>
      <c r="X19" s="149"/>
    </row>
    <row r="20" spans="22:24" ht="12.75">
      <c r="V20" s="153"/>
      <c r="W20" s="149"/>
      <c r="X20" s="149"/>
    </row>
    <row r="21" spans="5:24" ht="12.75">
      <c r="E21" s="154"/>
      <c r="F21" s="154"/>
      <c r="G21" s="154"/>
      <c r="H21" s="154"/>
      <c r="I21" s="154"/>
      <c r="J21" s="154"/>
      <c r="K21" s="154"/>
      <c r="L21" s="154"/>
      <c r="M21" s="154"/>
      <c r="V21" s="153"/>
      <c r="W21" s="149"/>
      <c r="X21" s="149"/>
    </row>
    <row r="22" spans="22:24" ht="12.75">
      <c r="V22" s="153"/>
      <c r="W22" s="149"/>
      <c r="X22" s="149"/>
    </row>
    <row r="23" spans="22:24" ht="12.75">
      <c r="V23" s="153"/>
      <c r="W23" s="149"/>
      <c r="X23" s="149"/>
    </row>
    <row r="24" spans="22:24" ht="12.75">
      <c r="V24" s="153"/>
      <c r="W24" s="149"/>
      <c r="X24" s="149"/>
    </row>
    <row r="25" spans="22:24" ht="12.75">
      <c r="V25" s="153"/>
      <c r="W25" s="149"/>
      <c r="X25" s="149"/>
    </row>
    <row r="26" spans="22:24" ht="12.75">
      <c r="V26" s="153"/>
      <c r="W26" s="149"/>
      <c r="X26" s="149"/>
    </row>
    <row r="27" spans="22:24" ht="12.75">
      <c r="V27" s="153"/>
      <c r="W27" s="149"/>
      <c r="X27" s="149"/>
    </row>
  </sheetData>
  <sheetProtection/>
  <mergeCells count="15">
    <mergeCell ref="M4:M5"/>
    <mergeCell ref="N4:P4"/>
    <mergeCell ref="Q4:Q5"/>
    <mergeCell ref="R4:T4"/>
    <mergeCell ref="V4:X4"/>
    <mergeCell ref="A1:W1"/>
    <mergeCell ref="A3:A5"/>
    <mergeCell ref="B3:P3"/>
    <mergeCell ref="Q3:T3"/>
    <mergeCell ref="U3:X3"/>
    <mergeCell ref="B4:H4"/>
    <mergeCell ref="I4:I5"/>
    <mergeCell ref="J4:J5"/>
    <mergeCell ref="K4:K5"/>
    <mergeCell ref="L4:L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4.140625" style="201" customWidth="1"/>
    <col min="2" max="6" width="6.57421875" style="156" customWidth="1"/>
    <col min="7" max="8" width="5.00390625" style="156" customWidth="1"/>
    <col min="9" max="12" width="7.28125" style="41" customWidth="1"/>
    <col min="13" max="13" width="7.7109375" style="41" customWidth="1"/>
    <col min="14" max="16" width="7.8515625" style="41" customWidth="1"/>
    <col min="17" max="18" width="8.421875" style="41" customWidth="1"/>
    <col min="19" max="19" width="8.421875" style="157" customWidth="1"/>
    <col min="20" max="20" width="8.421875" style="158" customWidth="1"/>
    <col min="21" max="16384" width="9.140625" style="37" customWidth="1"/>
  </cols>
  <sheetData>
    <row r="1" spans="1:20" ht="18" customHeight="1">
      <c r="A1" s="412" t="s">
        <v>39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</row>
    <row r="2" ht="15.75" customHeight="1">
      <c r="A2" s="155"/>
    </row>
    <row r="3" spans="1:20" s="160" customFormat="1" ht="17.25" customHeight="1">
      <c r="A3" s="159"/>
      <c r="B3" s="417" t="s">
        <v>2</v>
      </c>
      <c r="C3" s="418"/>
      <c r="D3" s="418"/>
      <c r="E3" s="418"/>
      <c r="F3" s="418"/>
      <c r="G3" s="418"/>
      <c r="H3" s="418"/>
      <c r="I3" s="418"/>
      <c r="J3" s="418"/>
      <c r="K3" s="418"/>
      <c r="L3" s="418"/>
      <c r="M3" s="420" t="s">
        <v>40</v>
      </c>
      <c r="N3" s="420"/>
      <c r="O3" s="420"/>
      <c r="P3" s="420"/>
      <c r="Q3" s="421" t="s">
        <v>41</v>
      </c>
      <c r="R3" s="422"/>
      <c r="S3" s="422"/>
      <c r="T3" s="409"/>
    </row>
    <row r="4" spans="1:20" s="160" customFormat="1" ht="19.5" customHeight="1">
      <c r="A4" s="161"/>
      <c r="B4" s="398" t="s">
        <v>42</v>
      </c>
      <c r="C4" s="398"/>
      <c r="D4" s="398"/>
      <c r="E4" s="398"/>
      <c r="F4" s="398"/>
      <c r="G4" s="432" t="s">
        <v>32</v>
      </c>
      <c r="H4" s="432" t="s">
        <v>33</v>
      </c>
      <c r="I4" s="441" t="s">
        <v>43</v>
      </c>
      <c r="J4" s="440" t="s">
        <v>4</v>
      </c>
      <c r="K4" s="440"/>
      <c r="L4" s="436"/>
      <c r="M4" s="443" t="s">
        <v>43</v>
      </c>
      <c r="N4" s="440" t="s">
        <v>4</v>
      </c>
      <c r="O4" s="440"/>
      <c r="P4" s="440"/>
      <c r="Q4" s="443" t="s">
        <v>43</v>
      </c>
      <c r="R4" s="445" t="s">
        <v>44</v>
      </c>
      <c r="S4" s="445" t="s">
        <v>45</v>
      </c>
      <c r="T4" s="445" t="s">
        <v>46</v>
      </c>
    </row>
    <row r="5" spans="1:20" s="160" customFormat="1" ht="44.25" customHeight="1">
      <c r="A5" s="162"/>
      <c r="B5" s="163">
        <v>2009</v>
      </c>
      <c r="C5" s="163">
        <v>2010</v>
      </c>
      <c r="D5" s="163">
        <v>2011</v>
      </c>
      <c r="E5" s="163">
        <v>2012</v>
      </c>
      <c r="F5" s="163">
        <v>2013</v>
      </c>
      <c r="G5" s="433"/>
      <c r="H5" s="433"/>
      <c r="I5" s="442"/>
      <c r="J5" s="164">
        <v>2014</v>
      </c>
      <c r="K5" s="164">
        <v>2015</v>
      </c>
      <c r="L5" s="165">
        <v>2016</v>
      </c>
      <c r="M5" s="444"/>
      <c r="N5" s="164">
        <v>2014</v>
      </c>
      <c r="O5" s="164">
        <v>2015</v>
      </c>
      <c r="P5" s="164">
        <v>2016</v>
      </c>
      <c r="Q5" s="444"/>
      <c r="R5" s="405"/>
      <c r="S5" s="405"/>
      <c r="T5" s="405"/>
    </row>
    <row r="6" spans="1:20" s="160" customFormat="1" ht="42" customHeight="1">
      <c r="A6" s="166" t="s">
        <v>47</v>
      </c>
      <c r="B6" s="167">
        <v>10390</v>
      </c>
      <c r="C6" s="167">
        <f>C7+C8</f>
        <v>11994</v>
      </c>
      <c r="D6" s="167">
        <f>D7+D8</f>
        <v>12694</v>
      </c>
      <c r="E6" s="167">
        <f>E7+E8</f>
        <v>12591</v>
      </c>
      <c r="F6" s="167">
        <f>F7+F8</f>
        <v>12382</v>
      </c>
      <c r="G6" s="168">
        <f aca="true" t="shared" si="0" ref="G6:H8">E6-D6</f>
        <v>-103</v>
      </c>
      <c r="H6" s="168">
        <f t="shared" si="0"/>
        <v>-209</v>
      </c>
      <c r="I6" s="169">
        <v>12591</v>
      </c>
      <c r="J6" s="170">
        <f>J7+J8</f>
        <v>12486.5</v>
      </c>
      <c r="K6" s="170">
        <f>K7+K8</f>
        <v>12486.5</v>
      </c>
      <c r="L6" s="170">
        <f>L7+L8</f>
        <v>12486.5</v>
      </c>
      <c r="M6" s="171"/>
      <c r="N6" s="172"/>
      <c r="O6" s="172"/>
      <c r="P6" s="172"/>
      <c r="Q6" s="173">
        <v>34583.7</v>
      </c>
      <c r="R6" s="174">
        <f>ROUND(R7+R8,1)</f>
        <v>40563.8</v>
      </c>
      <c r="S6" s="174">
        <f>ROUND(S7+S8,1)</f>
        <v>46807.1</v>
      </c>
      <c r="T6" s="174">
        <f>ROUND(T7+T8,1)</f>
        <v>53050.3</v>
      </c>
    </row>
    <row r="7" spans="1:20" s="160" customFormat="1" ht="12.75">
      <c r="A7" s="166" t="s">
        <v>36</v>
      </c>
      <c r="B7" s="167">
        <v>5458</v>
      </c>
      <c r="C7" s="167">
        <v>6043</v>
      </c>
      <c r="D7" s="167">
        <v>6510</v>
      </c>
      <c r="E7" s="167">
        <v>6434</v>
      </c>
      <c r="F7" s="167">
        <v>6168</v>
      </c>
      <c r="G7" s="175">
        <f t="shared" si="0"/>
        <v>-76</v>
      </c>
      <c r="H7" s="175">
        <f t="shared" si="0"/>
        <v>-266</v>
      </c>
      <c r="I7" s="176">
        <v>6434</v>
      </c>
      <c r="J7" s="177">
        <v>6301</v>
      </c>
      <c r="K7" s="177">
        <v>6301</v>
      </c>
      <c r="L7" s="177">
        <v>6301</v>
      </c>
      <c r="M7" s="178">
        <v>2600</v>
      </c>
      <c r="N7" s="179">
        <v>3100</v>
      </c>
      <c r="O7" s="180">
        <v>3600</v>
      </c>
      <c r="P7" s="85">
        <v>4100</v>
      </c>
      <c r="Q7" s="173">
        <v>16728.4</v>
      </c>
      <c r="R7" s="181">
        <f aca="true" t="shared" si="1" ref="R7:T8">J7*N7/1000</f>
        <v>19533.1</v>
      </c>
      <c r="S7" s="181">
        <f t="shared" si="1"/>
        <v>22683.6</v>
      </c>
      <c r="T7" s="181">
        <f t="shared" si="1"/>
        <v>25834.1</v>
      </c>
    </row>
    <row r="8" spans="1:20" s="160" customFormat="1" ht="12.75">
      <c r="A8" s="182" t="s">
        <v>37</v>
      </c>
      <c r="B8" s="183">
        <v>4932</v>
      </c>
      <c r="C8" s="183">
        <v>5951</v>
      </c>
      <c r="D8" s="183">
        <v>6184</v>
      </c>
      <c r="E8" s="183">
        <v>6157</v>
      </c>
      <c r="F8" s="183">
        <v>6214</v>
      </c>
      <c r="G8" s="184">
        <f t="shared" si="0"/>
        <v>-27</v>
      </c>
      <c r="H8" s="175">
        <f t="shared" si="0"/>
        <v>57</v>
      </c>
      <c r="I8" s="176">
        <v>6157</v>
      </c>
      <c r="J8" s="177">
        <v>6185.5</v>
      </c>
      <c r="K8" s="177">
        <v>6185.5</v>
      </c>
      <c r="L8" s="177">
        <v>6185.5</v>
      </c>
      <c r="M8" s="178">
        <v>2900</v>
      </c>
      <c r="N8" s="179">
        <v>3400</v>
      </c>
      <c r="O8" s="180">
        <v>3900</v>
      </c>
      <c r="P8" s="85">
        <v>4400</v>
      </c>
      <c r="Q8" s="185">
        <v>17855.3</v>
      </c>
      <c r="R8" s="181">
        <f t="shared" si="1"/>
        <v>21030.7</v>
      </c>
      <c r="S8" s="181">
        <f t="shared" si="1"/>
        <v>24123.45</v>
      </c>
      <c r="T8" s="181">
        <f t="shared" si="1"/>
        <v>27216.2</v>
      </c>
    </row>
    <row r="9" spans="1:20" s="160" customFormat="1" ht="9" customHeight="1">
      <c r="A9" s="182"/>
      <c r="B9" s="183"/>
      <c r="C9" s="183"/>
      <c r="D9" s="183"/>
      <c r="E9" s="183"/>
      <c r="F9" s="183"/>
      <c r="G9" s="184"/>
      <c r="H9" s="184"/>
      <c r="I9" s="183"/>
      <c r="J9" s="183"/>
      <c r="K9" s="183"/>
      <c r="L9" s="186"/>
      <c r="M9" s="187"/>
      <c r="N9" s="187"/>
      <c r="O9" s="187"/>
      <c r="P9" s="188"/>
      <c r="Q9" s="185"/>
      <c r="R9" s="189"/>
      <c r="S9" s="189"/>
      <c r="T9" s="189"/>
    </row>
    <row r="10" spans="1:20" s="160" customFormat="1" ht="12.75">
      <c r="A10" s="190" t="s">
        <v>11</v>
      </c>
      <c r="B10" s="191"/>
      <c r="C10" s="191"/>
      <c r="D10" s="191"/>
      <c r="E10" s="191"/>
      <c r="F10" s="191"/>
      <c r="G10" s="191"/>
      <c r="H10" s="191"/>
      <c r="I10" s="192"/>
      <c r="J10" s="192"/>
      <c r="K10" s="192"/>
      <c r="L10" s="192"/>
      <c r="M10" s="192"/>
      <c r="N10" s="192"/>
      <c r="O10" s="192"/>
      <c r="P10" s="192"/>
      <c r="Q10" s="193">
        <v>276.7</v>
      </c>
      <c r="R10" s="194">
        <f>ROUND(R6*0.6%,1)</f>
        <v>243.4</v>
      </c>
      <c r="S10" s="194">
        <f>ROUND(S6*0.6%,1)</f>
        <v>280.8</v>
      </c>
      <c r="T10" s="194">
        <f>ROUND(T6*0.6%,1)</f>
        <v>318.3</v>
      </c>
    </row>
    <row r="11" spans="1:20" s="160" customFormat="1" ht="22.5">
      <c r="A11" s="190" t="s">
        <v>12</v>
      </c>
      <c r="B11" s="191"/>
      <c r="C11" s="191"/>
      <c r="D11" s="191"/>
      <c r="E11" s="191"/>
      <c r="F11" s="191"/>
      <c r="G11" s="191"/>
      <c r="H11" s="191"/>
      <c r="I11" s="192"/>
      <c r="J11" s="192"/>
      <c r="K11" s="192"/>
      <c r="L11" s="192"/>
      <c r="M11" s="195"/>
      <c r="N11" s="192"/>
      <c r="O11" s="192"/>
      <c r="P11" s="192"/>
      <c r="Q11" s="193">
        <v>86.5</v>
      </c>
      <c r="R11" s="194">
        <f>ROUND(R6*0.25%,1)</f>
        <v>101.4</v>
      </c>
      <c r="S11" s="194">
        <f>ROUND(S6*0.25%,1)</f>
        <v>117</v>
      </c>
      <c r="T11" s="194">
        <f>ROUND(T6*0.25%,1)</f>
        <v>132.6</v>
      </c>
    </row>
    <row r="12" spans="1:20" s="160" customFormat="1" ht="13.5">
      <c r="A12" s="196" t="s">
        <v>10</v>
      </c>
      <c r="B12" s="197"/>
      <c r="C12" s="197"/>
      <c r="D12" s="197"/>
      <c r="E12" s="197"/>
      <c r="F12" s="197"/>
      <c r="G12" s="197"/>
      <c r="H12" s="197"/>
      <c r="I12" s="198"/>
      <c r="J12" s="198"/>
      <c r="K12" s="198"/>
      <c r="L12" s="198"/>
      <c r="M12" s="198"/>
      <c r="N12" s="198"/>
      <c r="O12" s="198"/>
      <c r="P12" s="198"/>
      <c r="Q12" s="199">
        <v>34946.9</v>
      </c>
      <c r="R12" s="200">
        <f>SUM(R7:R11)</f>
        <v>40908.600000000006</v>
      </c>
      <c r="S12" s="200">
        <f>SUM(S7:S11)</f>
        <v>47204.850000000006</v>
      </c>
      <c r="T12" s="200">
        <f>SUM(T7:T11)</f>
        <v>53501.200000000004</v>
      </c>
    </row>
    <row r="14" spans="10:20" ht="12.75">
      <c r="J14" s="321">
        <f>J6+'copii BS'!N7</f>
        <v>37936.5</v>
      </c>
      <c r="R14" s="152">
        <f>R6+'copii BS'!V7</f>
        <v>123148.5</v>
      </c>
      <c r="S14" s="152">
        <f>S6+'copii BS'!W7</f>
        <v>142116.8</v>
      </c>
      <c r="T14" s="152">
        <f>T6+'copii BS'!X7</f>
        <v>161085</v>
      </c>
    </row>
    <row r="15" spans="13:18" ht="12.75">
      <c r="M15" s="202"/>
      <c r="N15" s="202"/>
      <c r="R15" s="152"/>
    </row>
    <row r="16" spans="13:18" ht="12.75">
      <c r="M16" s="202"/>
      <c r="N16" s="202"/>
      <c r="R16" s="202"/>
    </row>
    <row r="18" spans="18:19" ht="12.75">
      <c r="R18" s="203"/>
      <c r="S18" s="39"/>
    </row>
    <row r="19" ht="12.75">
      <c r="S19" s="39"/>
    </row>
    <row r="20" spans="18:19" ht="12.75">
      <c r="R20" s="202"/>
      <c r="S20" s="38"/>
    </row>
  </sheetData>
  <sheetProtection/>
  <mergeCells count="15">
    <mergeCell ref="N4:P4"/>
    <mergeCell ref="Q4:Q5"/>
    <mergeCell ref="R4:R5"/>
    <mergeCell ref="S4:S5"/>
    <mergeCell ref="T4:T5"/>
    <mergeCell ref="A1:T1"/>
    <mergeCell ref="B3:L3"/>
    <mergeCell ref="M3:P3"/>
    <mergeCell ref="Q3:T3"/>
    <mergeCell ref="B4:F4"/>
    <mergeCell ref="G4:G5"/>
    <mergeCell ref="H4:H5"/>
    <mergeCell ref="I4:I5"/>
    <mergeCell ref="J4:L4"/>
    <mergeCell ref="M4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Oleg</cp:lastModifiedBy>
  <cp:lastPrinted>2013-10-28T11:45:48Z</cp:lastPrinted>
  <dcterms:created xsi:type="dcterms:W3CDTF">2012-11-12T20:26:00Z</dcterms:created>
  <dcterms:modified xsi:type="dcterms:W3CDTF">2013-10-28T11:57:50Z</dcterms:modified>
  <cp:category/>
  <cp:version/>
  <cp:contentType/>
  <cp:contentStatus/>
</cp:coreProperties>
</file>